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DieseArbeitsmappe" defaultThemeVersion="124226"/>
  <bookViews>
    <workbookView xWindow="120" yWindow="120" windowWidth="19440" windowHeight="11760" firstSheet="3" activeTab="3"/>
  </bookViews>
  <sheets>
    <sheet name="Dokumentation" sheetId="3" state="hidden" r:id="rId1"/>
    <sheet name="RT" sheetId="2" state="hidden" r:id="rId2"/>
    <sheet name="SaKo" sheetId="4" state="hidden" r:id="rId3"/>
    <sheet name="Kassenbuch" sheetId="6" r:id="rId4"/>
    <sheet name="Barbestand" sheetId="13" r:id="rId5"/>
    <sheet name="Buchungsblatt Aufwand" sheetId="12" r:id="rId6"/>
    <sheet name="Buchungsblatt Ertrag" sheetId="15" r:id="rId7"/>
  </sheets>
  <definedNames>
    <definedName name="Aufwand">SaKo!$J$2:$J$30</definedName>
    <definedName name="_xlnm.Print_Area" localSheetId="4">Barbestand!$A$1:$H$21</definedName>
    <definedName name="_xlnm.Print_Area" localSheetId="5">'Buchungsblatt Aufwand'!$A$1:$J$34</definedName>
    <definedName name="_xlnm.Print_Area" localSheetId="6">'Buchungsblatt Ertrag'!$A$1:$J$34</definedName>
    <definedName name="_xlnm.Print_Area" localSheetId="0">Dokumentation!$A$1:$C$24</definedName>
    <definedName name="_xlnm.Print_Area" localSheetId="3">Kassenbuch!$A$1:$I$69</definedName>
    <definedName name="_xlnm.Print_Titles" localSheetId="0">Dokumentation!$1:$1</definedName>
    <definedName name="_xlnm.Print_Titles" localSheetId="3">Kassenbuch!$1:$19</definedName>
    <definedName name="Ertrag">SaKo!$E$2:$E$9</definedName>
    <definedName name="Gruppen">SaKo!$A$2:$A$3</definedName>
    <definedName name="Matrix">Kassenbuch!$S$20:$T$68</definedName>
    <definedName name="Matrix1">Kassenbuch!$W$20:$X$68</definedName>
    <definedName name="SaKo17">INDIRECT(INDEX(Gruppen,Kassenbuch!$Q$20,1))</definedName>
    <definedName name="SaKo18">INDIRECT(INDEX(Gruppen,Kassenbuch!$Q$21,1))</definedName>
    <definedName name="SaKo19">INDIRECT(INDEX(Gruppen,Kassenbuch!$Q$22,1))</definedName>
    <definedName name="SaKo20">INDIRECT(INDEX(Gruppen,Kassenbuch!$Q$23,1))</definedName>
    <definedName name="SaKo21">INDIRECT(INDEX(Gruppen,Kassenbuch!$Q$24,1))</definedName>
    <definedName name="SaKo22">INDIRECT(INDEX(Gruppen,Kassenbuch!$Q$25,1))</definedName>
    <definedName name="SaKo23">INDIRECT(INDEX(Gruppen,Kassenbuch!$Q$26,1))</definedName>
    <definedName name="SaKo24">INDIRECT(INDEX(Gruppen,Kassenbuch!$Q$27,1))</definedName>
    <definedName name="SaKo25">INDIRECT(INDEX(Gruppen,Kassenbuch!$Q$28,1))</definedName>
    <definedName name="SaKo26">INDIRECT(INDEX(Gruppen,Kassenbuch!$Q$29,1))</definedName>
    <definedName name="SaKo27">INDIRECT(INDEX(Gruppen,Kassenbuch!$Q$30,1))</definedName>
    <definedName name="SaKo28">INDIRECT(INDEX(Gruppen,Kassenbuch!$Q$31,1))</definedName>
    <definedName name="SaKo29">INDIRECT(INDEX(Gruppen,Kassenbuch!$Q$32,1))</definedName>
    <definedName name="SaKo30">INDIRECT(INDEX(Gruppen,Kassenbuch!$Q$33,1))</definedName>
    <definedName name="SaKo31">INDIRECT(INDEX(Gruppen,Kassenbuch!$Q$34,1))</definedName>
    <definedName name="SaKo32">INDIRECT(INDEX(Gruppen,Kassenbuch!$Q$35,1))</definedName>
    <definedName name="SaKo33">INDIRECT(INDEX(Gruppen,Kassenbuch!$Q$36,1))</definedName>
    <definedName name="SaKo34">INDIRECT(INDEX(Gruppen,Kassenbuch!$Q$37,1))</definedName>
    <definedName name="SaKo35">INDIRECT(INDEX(Gruppen,Kassenbuch!$Q$38,1))</definedName>
    <definedName name="SaKo36">INDIRECT(INDEX(Gruppen,Kassenbuch!$Q$39,1))</definedName>
    <definedName name="SaKo37">INDIRECT(INDEX(Gruppen,Kassenbuch!$Q$40,1))</definedName>
    <definedName name="SaKo38">INDIRECT(INDEX(Gruppen,Kassenbuch!$Q$41,1))</definedName>
    <definedName name="SaKo39">INDIRECT(INDEX(Gruppen,Kassenbuch!$Q$42,1))</definedName>
    <definedName name="SaKo40">INDIRECT(INDEX(Gruppen,Kassenbuch!$Q$43,1))</definedName>
    <definedName name="SaKo41">INDIRECT(INDEX(Gruppen,Kassenbuch!$Q$44,1))</definedName>
    <definedName name="SaKo42">INDIRECT(INDEX(Gruppen,Kassenbuch!$Q$45,1))</definedName>
    <definedName name="SaKo43">INDIRECT(INDEX(Gruppen,Kassenbuch!$Q$46,1))</definedName>
    <definedName name="SaKo44">INDIRECT(INDEX(Gruppen,Kassenbuch!$Q$47,1))</definedName>
    <definedName name="SaKo45">INDIRECT(INDEX(Gruppen,Kassenbuch!$Q$48,1))</definedName>
    <definedName name="SaKo46">INDIRECT(INDEX(Gruppen,Kassenbuch!$Q$49,1))</definedName>
    <definedName name="SaKo47">INDIRECT(INDEX(Gruppen,Kassenbuch!$Q$50,1))</definedName>
    <definedName name="SaKo48">INDIRECT(INDEX(Gruppen,Kassenbuch!$Q$51,1))</definedName>
    <definedName name="SaKo49">INDIRECT(INDEX(Gruppen,Kassenbuch!$Q$52,1))</definedName>
    <definedName name="SaKo50">INDIRECT(INDEX(Gruppen,Kassenbuch!$Q$53,1))</definedName>
    <definedName name="SaKo51">INDIRECT(INDEX(Gruppen,Kassenbuch!$Q$54,1))</definedName>
    <definedName name="SaKo52">INDIRECT(INDEX(Gruppen,Kassenbuch!$Q$55,1))</definedName>
    <definedName name="SaKo53">INDIRECT(INDEX(Gruppen,Kassenbuch!$Q$56,1))</definedName>
    <definedName name="SaKo54">INDIRECT(INDEX(Gruppen,Kassenbuch!$Q$57,1))</definedName>
    <definedName name="SaKo55">INDIRECT(INDEX(Gruppen,Kassenbuch!$Q$58,1))</definedName>
    <definedName name="SaKo56">INDIRECT(INDEX(Gruppen,Kassenbuch!$Q$59,1))</definedName>
    <definedName name="SaKo57">INDIRECT(INDEX(Gruppen,Kassenbuch!$Q$60,1))</definedName>
    <definedName name="SaKo58">INDIRECT(INDEX(Gruppen,Kassenbuch!$Q$61,1))</definedName>
    <definedName name="SaKo59">INDIRECT(INDEX(Gruppen,Kassenbuch!$Q$62,1))</definedName>
    <definedName name="SaKo60">INDIRECT(INDEX(Gruppen,Kassenbuch!$Q$63,1))</definedName>
    <definedName name="SaKo61">INDIRECT(INDEX(Gruppen,Kassenbuch!$Q$64,1))</definedName>
    <definedName name="SaKo62">INDIRECT(INDEX(Gruppen,Kassenbuch!$Q$65,1))</definedName>
    <definedName name="SaKo63">INDIRECT(INDEX(Gruppen,Kassenbuch!$Q$66,1))</definedName>
    <definedName name="SaKo64">INDIRECT(INDEX(Gruppen,Kassenbuch!$Q$67,1))</definedName>
    <definedName name="SaKo65">INDIRECT(INDEX(Gruppen,Kassenbuch!$Q$68,1))</definedName>
    <definedName name="SaKoAufwand">SaKo!$I$2:$I$30</definedName>
    <definedName name="SaKoAufwandBuchungsblatt">SaKo!$I$2:$K$51</definedName>
    <definedName name="SaKoBereichAufwand">SaKo!$H$2:$K$30</definedName>
    <definedName name="SaKoBereichErtrag">SaKo!$C$2:$F$9</definedName>
    <definedName name="SaKoErtrag">SaKo!$D$2:$D$9</definedName>
    <definedName name="SaKoErtragBuchungsblatt">SaKo!$D$2:$F$51</definedName>
  </definedNames>
  <calcPr calcId="152511"/>
</workbook>
</file>

<file path=xl/calcChain.xml><?xml version="1.0" encoding="utf-8"?>
<calcChain xmlns="http://schemas.openxmlformats.org/spreadsheetml/2006/main">
  <c r="D246" i="2" l="1"/>
  <c r="E246" i="2" s="1"/>
  <c r="C246" i="2"/>
  <c r="D245" i="2"/>
  <c r="E245" i="2" s="1"/>
  <c r="C245" i="2"/>
  <c r="D244" i="2"/>
  <c r="E244" i="2" s="1"/>
  <c r="C244" i="2"/>
  <c r="D243" i="2"/>
  <c r="E243" i="2" s="1"/>
  <c r="C243" i="2"/>
  <c r="D242" i="2"/>
  <c r="E242" i="2" s="1"/>
  <c r="C242" i="2"/>
  <c r="E241" i="2"/>
  <c r="D241" i="2"/>
  <c r="C241" i="2"/>
  <c r="E240" i="2"/>
  <c r="D240" i="2"/>
  <c r="C240" i="2"/>
  <c r="D239" i="2"/>
  <c r="E239" i="2" s="1"/>
  <c r="C239" i="2"/>
  <c r="D238" i="2"/>
  <c r="E238" i="2" s="1"/>
  <c r="C238" i="2"/>
  <c r="D237" i="2"/>
  <c r="E237" i="2" s="1"/>
  <c r="C237" i="2"/>
  <c r="D236" i="2"/>
  <c r="E236" i="2" s="1"/>
  <c r="C236" i="2"/>
  <c r="D235" i="2"/>
  <c r="E235" i="2" s="1"/>
  <c r="C235" i="2"/>
  <c r="D234" i="2"/>
  <c r="E234" i="2" s="1"/>
  <c r="C234" i="2"/>
  <c r="E233" i="2"/>
  <c r="D233" i="2"/>
  <c r="C233" i="2"/>
  <c r="E232" i="2"/>
  <c r="D232" i="2"/>
  <c r="C232" i="2"/>
  <c r="D231" i="2"/>
  <c r="E231" i="2" s="1"/>
  <c r="C231" i="2"/>
  <c r="D230" i="2"/>
  <c r="E230" i="2" s="1"/>
  <c r="C230" i="2"/>
  <c r="D229" i="2"/>
  <c r="E229" i="2" s="1"/>
  <c r="C229" i="2"/>
  <c r="D228" i="2"/>
  <c r="E228" i="2" s="1"/>
  <c r="C228" i="2"/>
  <c r="D227" i="2"/>
  <c r="E227" i="2" s="1"/>
  <c r="C227" i="2"/>
  <c r="D226" i="2"/>
  <c r="E226" i="2" s="1"/>
  <c r="C226" i="2"/>
  <c r="E225" i="2"/>
  <c r="D225" i="2"/>
  <c r="C225" i="2"/>
  <c r="E224" i="2"/>
  <c r="D224" i="2"/>
  <c r="C224" i="2"/>
  <c r="D223" i="2"/>
  <c r="E223" i="2" s="1"/>
  <c r="C223" i="2"/>
  <c r="D222" i="2"/>
  <c r="E222" i="2" s="1"/>
  <c r="C222" i="2"/>
  <c r="D221" i="2"/>
  <c r="E221" i="2" s="1"/>
  <c r="C221" i="2"/>
  <c r="D220" i="2"/>
  <c r="E220" i="2" s="1"/>
  <c r="C220" i="2"/>
  <c r="D219" i="2"/>
  <c r="E219" i="2" s="1"/>
  <c r="C219" i="2"/>
  <c r="D218" i="2"/>
  <c r="E218" i="2" s="1"/>
  <c r="C218" i="2"/>
  <c r="E217" i="2"/>
  <c r="D217" i="2"/>
  <c r="C217" i="2"/>
  <c r="E216" i="2"/>
  <c r="D216" i="2"/>
  <c r="C216" i="2"/>
  <c r="D215" i="2"/>
  <c r="E215" i="2" s="1"/>
  <c r="C215" i="2"/>
  <c r="D214" i="2"/>
  <c r="E214" i="2" s="1"/>
  <c r="C214" i="2"/>
  <c r="D213" i="2"/>
  <c r="E213" i="2" s="1"/>
  <c r="C213" i="2"/>
  <c r="D212" i="2"/>
  <c r="E212" i="2" s="1"/>
  <c r="C212" i="2"/>
  <c r="D211" i="2"/>
  <c r="E211" i="2" s="1"/>
  <c r="C211" i="2"/>
  <c r="D210" i="2"/>
  <c r="E210" i="2" s="1"/>
  <c r="C210" i="2"/>
  <c r="E209" i="2"/>
  <c r="D209" i="2"/>
  <c r="C209" i="2"/>
  <c r="E208" i="2"/>
  <c r="D208" i="2"/>
  <c r="C208" i="2"/>
  <c r="D207" i="2"/>
  <c r="E207" i="2" s="1"/>
  <c r="C207" i="2"/>
  <c r="D206" i="2"/>
  <c r="E206" i="2" s="1"/>
  <c r="C206" i="2"/>
  <c r="D205" i="2"/>
  <c r="E205" i="2" s="1"/>
  <c r="C205" i="2"/>
  <c r="D204" i="2"/>
  <c r="E204" i="2" s="1"/>
  <c r="C204" i="2"/>
  <c r="D203" i="2"/>
  <c r="E203" i="2" s="1"/>
  <c r="C203" i="2"/>
  <c r="D202" i="2"/>
  <c r="E202" i="2" s="1"/>
  <c r="C202" i="2"/>
  <c r="E201" i="2"/>
  <c r="D201" i="2"/>
  <c r="C201" i="2"/>
  <c r="E200" i="2"/>
  <c r="D200" i="2"/>
  <c r="C200" i="2"/>
  <c r="D199" i="2"/>
  <c r="E199" i="2" s="1"/>
  <c r="C199" i="2"/>
  <c r="D198" i="2"/>
  <c r="E198" i="2" s="1"/>
  <c r="C198" i="2"/>
  <c r="D197" i="2"/>
  <c r="E197" i="2" s="1"/>
  <c r="C197" i="2"/>
  <c r="D196" i="2"/>
  <c r="E196" i="2" s="1"/>
  <c r="C196" i="2"/>
  <c r="D195" i="2"/>
  <c r="E195" i="2" s="1"/>
  <c r="C195" i="2"/>
  <c r="D194" i="2"/>
  <c r="E194" i="2" s="1"/>
  <c r="C194" i="2"/>
  <c r="E193" i="2"/>
  <c r="D193" i="2"/>
  <c r="C193" i="2"/>
  <c r="E192" i="2"/>
  <c r="D192" i="2"/>
  <c r="D191" i="2"/>
  <c r="E191" i="2" s="1"/>
  <c r="C191" i="2"/>
  <c r="E190" i="2"/>
  <c r="D190" i="2"/>
  <c r="C190" i="2"/>
  <c r="E189" i="2"/>
  <c r="D189" i="2"/>
  <c r="C189" i="2"/>
  <c r="D188" i="2"/>
  <c r="E188" i="2" s="1"/>
  <c r="C188" i="2"/>
  <c r="D187" i="2"/>
  <c r="E187" i="2" s="1"/>
  <c r="C187" i="2"/>
  <c r="D186" i="2"/>
  <c r="E186" i="2" s="1"/>
  <c r="C186" i="2"/>
  <c r="D185" i="2"/>
  <c r="E185" i="2" s="1"/>
  <c r="C185" i="2"/>
  <c r="D184" i="2"/>
  <c r="E184" i="2" s="1"/>
  <c r="C184" i="2"/>
  <c r="D183" i="2"/>
  <c r="E183" i="2" s="1"/>
  <c r="C183" i="2"/>
  <c r="E182" i="2"/>
  <c r="D182" i="2"/>
  <c r="C182" i="2"/>
  <c r="E181" i="2"/>
  <c r="D181" i="2"/>
  <c r="C181" i="2"/>
  <c r="D180" i="2"/>
  <c r="E180" i="2" s="1"/>
  <c r="C180" i="2"/>
  <c r="D179" i="2"/>
  <c r="E179" i="2" s="1"/>
  <c r="C179" i="2"/>
  <c r="D178" i="2"/>
  <c r="E178" i="2" s="1"/>
  <c r="C178" i="2"/>
  <c r="D177" i="2"/>
  <c r="E177" i="2" s="1"/>
  <c r="C177" i="2"/>
  <c r="D176" i="2"/>
  <c r="E176" i="2" s="1"/>
  <c r="C176" i="2"/>
  <c r="D175" i="2"/>
  <c r="E175" i="2" s="1"/>
  <c r="C175" i="2"/>
  <c r="E174" i="2"/>
  <c r="D174" i="2"/>
  <c r="C174" i="2"/>
  <c r="E173" i="2"/>
  <c r="D173" i="2"/>
  <c r="C173" i="2"/>
  <c r="D172" i="2"/>
  <c r="E172" i="2" s="1"/>
  <c r="C172" i="2"/>
  <c r="D171" i="2"/>
  <c r="E171" i="2" s="1"/>
  <c r="C171" i="2"/>
  <c r="D170" i="2"/>
  <c r="E170" i="2" s="1"/>
  <c r="C170" i="2"/>
  <c r="D169" i="2"/>
  <c r="E169" i="2" s="1"/>
  <c r="C169" i="2"/>
  <c r="D168" i="2"/>
  <c r="E168" i="2" s="1"/>
  <c r="C168" i="2"/>
  <c r="D167" i="2"/>
  <c r="E167" i="2" s="1"/>
  <c r="C167" i="2"/>
  <c r="E166" i="2"/>
  <c r="D166" i="2"/>
  <c r="C166" i="2"/>
  <c r="E165" i="2"/>
  <c r="D165" i="2"/>
  <c r="C165" i="2"/>
  <c r="D164" i="2"/>
  <c r="E164" i="2" s="1"/>
  <c r="C164" i="2"/>
  <c r="D163" i="2"/>
  <c r="E163" i="2" s="1"/>
  <c r="C163" i="2"/>
  <c r="D162" i="2"/>
  <c r="E162" i="2" s="1"/>
  <c r="C162" i="2"/>
  <c r="D161" i="2"/>
  <c r="E161" i="2" s="1"/>
  <c r="C161" i="2"/>
  <c r="D160" i="2"/>
  <c r="E160" i="2" s="1"/>
  <c r="C160" i="2"/>
  <c r="D159" i="2"/>
  <c r="E159" i="2" s="1"/>
  <c r="C159" i="2"/>
  <c r="E158" i="2"/>
  <c r="D158" i="2"/>
  <c r="C158" i="2"/>
  <c r="E157" i="2"/>
  <c r="D157" i="2"/>
  <c r="C157" i="2"/>
  <c r="D156" i="2"/>
  <c r="E156" i="2" s="1"/>
  <c r="C156" i="2"/>
  <c r="D155" i="2"/>
  <c r="E155" i="2" s="1"/>
  <c r="C155" i="2"/>
  <c r="D154" i="2"/>
  <c r="E154" i="2" s="1"/>
  <c r="C154" i="2"/>
  <c r="D153" i="2"/>
  <c r="E153" i="2" s="1"/>
  <c r="C153" i="2"/>
  <c r="D152" i="2"/>
  <c r="E152" i="2" s="1"/>
  <c r="C152" i="2"/>
  <c r="D151" i="2"/>
  <c r="E151" i="2" s="1"/>
  <c r="C151" i="2"/>
  <c r="E150" i="2"/>
  <c r="D150" i="2"/>
  <c r="C150" i="2"/>
  <c r="E149" i="2"/>
  <c r="D149" i="2"/>
  <c r="C149" i="2"/>
  <c r="D148" i="2"/>
  <c r="E148" i="2" s="1"/>
  <c r="C148" i="2"/>
  <c r="D147" i="2"/>
  <c r="E147" i="2" s="1"/>
  <c r="C147" i="2"/>
  <c r="D146" i="2"/>
  <c r="E146" i="2" s="1"/>
  <c r="C146" i="2"/>
  <c r="D145" i="2"/>
  <c r="E145" i="2" s="1"/>
  <c r="C145" i="2"/>
  <c r="D144" i="2"/>
  <c r="E144" i="2" s="1"/>
  <c r="C144" i="2"/>
  <c r="D143" i="2"/>
  <c r="E143" i="2" s="1"/>
  <c r="C143" i="2"/>
  <c r="E142" i="2"/>
  <c r="D142" i="2"/>
  <c r="C142" i="2"/>
  <c r="E141" i="2"/>
  <c r="D141" i="2"/>
  <c r="C141" i="2"/>
  <c r="D140" i="2"/>
  <c r="E140" i="2" s="1"/>
  <c r="C140" i="2"/>
  <c r="D139" i="2"/>
  <c r="E139" i="2" s="1"/>
  <c r="C139" i="2"/>
  <c r="D138" i="2"/>
  <c r="E138" i="2" s="1"/>
  <c r="C138" i="2"/>
  <c r="D137" i="2"/>
  <c r="E137" i="2" s="1"/>
  <c r="C137" i="2"/>
  <c r="D136" i="2"/>
  <c r="E136" i="2" s="1"/>
  <c r="C136" i="2"/>
  <c r="D135" i="2"/>
  <c r="E135" i="2" s="1"/>
  <c r="C135" i="2"/>
  <c r="E134" i="2"/>
  <c r="D134" i="2"/>
  <c r="C134" i="2"/>
  <c r="E133" i="2"/>
  <c r="D133" i="2"/>
  <c r="C133" i="2"/>
  <c r="D132" i="2"/>
  <c r="E132" i="2" s="1"/>
  <c r="C132" i="2"/>
  <c r="D131" i="2"/>
  <c r="E131" i="2" s="1"/>
  <c r="C131" i="2"/>
  <c r="D130" i="2"/>
  <c r="E130" i="2" s="1"/>
  <c r="C130" i="2"/>
  <c r="D129" i="2"/>
  <c r="E129" i="2" s="1"/>
  <c r="C129" i="2"/>
  <c r="D128" i="2"/>
  <c r="E128" i="2" s="1"/>
  <c r="C128" i="2"/>
  <c r="D127" i="2"/>
  <c r="E127" i="2" s="1"/>
  <c r="C127" i="2"/>
  <c r="E126" i="2"/>
  <c r="D126" i="2"/>
  <c r="C126" i="2"/>
  <c r="E125" i="2"/>
  <c r="D125" i="2"/>
  <c r="C125" i="2"/>
  <c r="D124" i="2"/>
  <c r="E124" i="2" s="1"/>
  <c r="C124" i="2"/>
  <c r="D123" i="2"/>
  <c r="E123" i="2" s="1"/>
  <c r="C123" i="2"/>
  <c r="D122" i="2"/>
  <c r="E122" i="2" s="1"/>
  <c r="C122" i="2"/>
  <c r="D121" i="2"/>
  <c r="E121" i="2" s="1"/>
  <c r="C121" i="2"/>
  <c r="D120" i="2"/>
  <c r="E120" i="2" s="1"/>
  <c r="C120" i="2"/>
  <c r="D119" i="2"/>
  <c r="E119" i="2" s="1"/>
  <c r="C119" i="2"/>
  <c r="E118" i="2"/>
  <c r="D118" i="2"/>
  <c r="C118" i="2"/>
  <c r="E117" i="2"/>
  <c r="D117" i="2"/>
  <c r="C117" i="2"/>
  <c r="D116" i="2"/>
  <c r="E116" i="2" s="1"/>
  <c r="C116" i="2"/>
  <c r="D115" i="2"/>
  <c r="E115" i="2" s="1"/>
  <c r="C115" i="2"/>
  <c r="D114" i="2"/>
  <c r="E114" i="2" s="1"/>
  <c r="C114" i="2"/>
  <c r="D113" i="2"/>
  <c r="E113" i="2" s="1"/>
  <c r="C113" i="2"/>
  <c r="D112" i="2"/>
  <c r="E112" i="2" s="1"/>
  <c r="C112" i="2"/>
  <c r="D111" i="2"/>
  <c r="E111" i="2" s="1"/>
  <c r="C111" i="2"/>
  <c r="E110" i="2"/>
  <c r="D110" i="2"/>
  <c r="C110" i="2"/>
  <c r="E109" i="2"/>
  <c r="D109" i="2"/>
  <c r="C109" i="2"/>
  <c r="D108" i="2"/>
  <c r="E108" i="2" s="1"/>
  <c r="C108" i="2"/>
  <c r="D107" i="2"/>
  <c r="E107" i="2" s="1"/>
  <c r="C107" i="2"/>
  <c r="D106" i="2"/>
  <c r="E106" i="2" s="1"/>
  <c r="C106" i="2"/>
  <c r="D105" i="2"/>
  <c r="E105" i="2" s="1"/>
  <c r="C105" i="2"/>
  <c r="D104" i="2"/>
  <c r="E104" i="2" s="1"/>
  <c r="C104" i="2"/>
  <c r="D103" i="2"/>
  <c r="E103" i="2" s="1"/>
  <c r="C103" i="2"/>
  <c r="E102" i="2"/>
  <c r="D102" i="2"/>
  <c r="C102" i="2"/>
  <c r="E101" i="2"/>
  <c r="D101" i="2"/>
  <c r="C101" i="2"/>
  <c r="D100" i="2"/>
  <c r="E100" i="2" s="1"/>
  <c r="C100" i="2"/>
  <c r="D99" i="2"/>
  <c r="E99" i="2" s="1"/>
  <c r="C99" i="2"/>
  <c r="D98" i="2"/>
  <c r="E98" i="2" s="1"/>
  <c r="C98" i="2"/>
  <c r="D97" i="2"/>
  <c r="E97" i="2" s="1"/>
  <c r="C97" i="2"/>
  <c r="D96" i="2"/>
  <c r="E96" i="2" s="1"/>
  <c r="C96" i="2"/>
  <c r="D95" i="2"/>
  <c r="E95" i="2" s="1"/>
  <c r="C95" i="2"/>
  <c r="E94" i="2"/>
  <c r="D94" i="2"/>
  <c r="C94" i="2"/>
  <c r="E93" i="2"/>
  <c r="D93" i="2"/>
  <c r="C93" i="2"/>
  <c r="D92" i="2"/>
  <c r="E92" i="2" s="1"/>
  <c r="C92" i="2"/>
  <c r="D91" i="2"/>
  <c r="E91" i="2" s="1"/>
  <c r="C91" i="2"/>
  <c r="D90" i="2"/>
  <c r="E90" i="2" s="1"/>
  <c r="C90" i="2"/>
  <c r="D89" i="2"/>
  <c r="E89" i="2" s="1"/>
  <c r="C89" i="2"/>
  <c r="D88" i="2"/>
  <c r="E88" i="2" s="1"/>
  <c r="C88" i="2"/>
  <c r="D87" i="2"/>
  <c r="E87" i="2" s="1"/>
  <c r="C87" i="2"/>
  <c r="E86" i="2"/>
  <c r="D86" i="2"/>
  <c r="C86" i="2"/>
  <c r="E85" i="2"/>
  <c r="D85" i="2"/>
  <c r="C85" i="2"/>
  <c r="D84" i="2"/>
  <c r="E84" i="2" s="1"/>
  <c r="C84" i="2"/>
  <c r="D83" i="2"/>
  <c r="E83" i="2" s="1"/>
  <c r="C83" i="2"/>
  <c r="D82" i="2"/>
  <c r="E82" i="2" s="1"/>
  <c r="C82" i="2"/>
  <c r="D81" i="2"/>
  <c r="E81" i="2" s="1"/>
  <c r="C81" i="2"/>
  <c r="D80" i="2"/>
  <c r="E80" i="2" s="1"/>
  <c r="C80" i="2"/>
  <c r="D79" i="2"/>
  <c r="E79" i="2" s="1"/>
  <c r="C79" i="2"/>
  <c r="E78" i="2"/>
  <c r="D78" i="2"/>
  <c r="C78" i="2"/>
  <c r="E77" i="2"/>
  <c r="D77" i="2"/>
  <c r="C77" i="2"/>
  <c r="D76" i="2"/>
  <c r="E76" i="2" s="1"/>
  <c r="C76" i="2"/>
  <c r="D75" i="2"/>
  <c r="E75" i="2" s="1"/>
  <c r="C75" i="2"/>
  <c r="D74" i="2"/>
  <c r="E74" i="2" s="1"/>
  <c r="C74" i="2"/>
  <c r="D73" i="2"/>
  <c r="E73" i="2" s="1"/>
  <c r="C73" i="2"/>
  <c r="D72" i="2"/>
  <c r="E72" i="2" s="1"/>
  <c r="C72" i="2"/>
  <c r="D71" i="2"/>
  <c r="E71" i="2" s="1"/>
  <c r="C71" i="2"/>
  <c r="E70" i="2"/>
  <c r="D70" i="2"/>
  <c r="C70" i="2"/>
  <c r="E69" i="2"/>
  <c r="D69" i="2"/>
  <c r="C69" i="2"/>
  <c r="D68" i="2"/>
  <c r="E68" i="2" s="1"/>
  <c r="C68" i="2"/>
  <c r="D67" i="2"/>
  <c r="E67" i="2" s="1"/>
  <c r="C67" i="2"/>
  <c r="D66" i="2"/>
  <c r="E66" i="2" s="1"/>
  <c r="C66" i="2"/>
  <c r="D65" i="2"/>
  <c r="E65" i="2" s="1"/>
  <c r="C65" i="2"/>
  <c r="D64" i="2"/>
  <c r="E64" i="2" s="1"/>
  <c r="C64" i="2"/>
  <c r="D63" i="2"/>
  <c r="E63" i="2" s="1"/>
  <c r="C63" i="2"/>
  <c r="E62" i="2"/>
  <c r="D62" i="2"/>
  <c r="C62" i="2"/>
  <c r="E61" i="2"/>
  <c r="D61" i="2"/>
  <c r="C61" i="2"/>
  <c r="D60" i="2"/>
  <c r="E60" i="2" s="1"/>
  <c r="C60" i="2"/>
  <c r="D59" i="2"/>
  <c r="E59" i="2" s="1"/>
  <c r="C59" i="2"/>
  <c r="D58" i="2"/>
  <c r="E58" i="2" s="1"/>
  <c r="C58" i="2"/>
  <c r="D57" i="2"/>
  <c r="E57" i="2" s="1"/>
  <c r="C57" i="2"/>
  <c r="D56" i="2"/>
  <c r="E56" i="2" s="1"/>
  <c r="C56" i="2"/>
  <c r="D55" i="2"/>
  <c r="E55" i="2" s="1"/>
  <c r="C55" i="2"/>
  <c r="E54" i="2"/>
  <c r="D54" i="2"/>
  <c r="C54" i="2"/>
  <c r="E53" i="2"/>
  <c r="D53" i="2"/>
  <c r="C53" i="2"/>
  <c r="D52" i="2"/>
  <c r="E52" i="2" s="1"/>
  <c r="C52" i="2"/>
  <c r="D51" i="2"/>
  <c r="E51" i="2" s="1"/>
  <c r="C51" i="2"/>
  <c r="D50" i="2"/>
  <c r="E50" i="2" s="1"/>
  <c r="C50" i="2"/>
  <c r="E49" i="2"/>
  <c r="D49" i="2"/>
  <c r="C49" i="2"/>
  <c r="D48" i="2"/>
  <c r="E48" i="2" s="1"/>
  <c r="C48" i="2"/>
  <c r="D47" i="2"/>
  <c r="E47" i="2" s="1"/>
  <c r="C47" i="2"/>
  <c r="E46" i="2"/>
  <c r="D46" i="2"/>
  <c r="C46" i="2"/>
  <c r="E45" i="2"/>
  <c r="D45" i="2"/>
  <c r="C45" i="2"/>
  <c r="D44" i="2"/>
  <c r="E44" i="2" s="1"/>
  <c r="C44" i="2"/>
  <c r="D43" i="2"/>
  <c r="E43" i="2" s="1"/>
  <c r="C43" i="2"/>
  <c r="D42" i="2"/>
  <c r="E42" i="2" s="1"/>
  <c r="C42" i="2"/>
  <c r="E41" i="2"/>
  <c r="D41" i="2"/>
  <c r="C41" i="2"/>
  <c r="D40" i="2"/>
  <c r="E40" i="2" s="1"/>
  <c r="C40" i="2"/>
  <c r="D39" i="2"/>
  <c r="E39" i="2" s="1"/>
  <c r="C39" i="2"/>
  <c r="E38" i="2"/>
  <c r="D38" i="2"/>
  <c r="C38" i="2"/>
  <c r="E37" i="2"/>
  <c r="D37" i="2"/>
  <c r="C37" i="2"/>
  <c r="D36" i="2"/>
  <c r="E36" i="2" s="1"/>
  <c r="C36" i="2"/>
  <c r="D35" i="2"/>
  <c r="E35" i="2" s="1"/>
  <c r="C35" i="2"/>
  <c r="D34" i="2"/>
  <c r="E34" i="2" s="1"/>
  <c r="C34" i="2"/>
  <c r="D33" i="2"/>
  <c r="E33" i="2" s="1"/>
  <c r="C33" i="2"/>
  <c r="D32" i="2"/>
  <c r="E32" i="2" s="1"/>
  <c r="C32" i="2"/>
  <c r="D31" i="2"/>
  <c r="E31" i="2" s="1"/>
  <c r="C31" i="2"/>
  <c r="E30" i="2"/>
  <c r="D30" i="2"/>
  <c r="C30" i="2"/>
  <c r="E29" i="2"/>
  <c r="D29" i="2"/>
  <c r="C29" i="2"/>
  <c r="D28" i="2"/>
  <c r="E28" i="2" s="1"/>
  <c r="C28" i="2"/>
  <c r="D27" i="2"/>
  <c r="E27" i="2" s="1"/>
  <c r="C27" i="2"/>
  <c r="D26" i="2"/>
  <c r="E26" i="2" s="1"/>
  <c r="C26" i="2"/>
  <c r="E25" i="2"/>
  <c r="D25" i="2"/>
  <c r="C25" i="2"/>
  <c r="D24" i="2"/>
  <c r="E24" i="2" s="1"/>
  <c r="C24" i="2"/>
  <c r="D23" i="2"/>
  <c r="E23" i="2" s="1"/>
  <c r="C23" i="2"/>
  <c r="E22" i="2"/>
  <c r="D22" i="2"/>
  <c r="C22" i="2"/>
  <c r="E21" i="2"/>
  <c r="D21" i="2"/>
  <c r="C21" i="2"/>
  <c r="D20" i="2"/>
  <c r="E20" i="2" s="1"/>
  <c r="C20" i="2"/>
  <c r="D19" i="2"/>
  <c r="E19" i="2" s="1"/>
  <c r="C19" i="2"/>
  <c r="D18" i="2"/>
  <c r="E18" i="2" s="1"/>
  <c r="C18" i="2"/>
  <c r="D17" i="2"/>
  <c r="E17" i="2" s="1"/>
  <c r="C17" i="2"/>
  <c r="D16" i="2"/>
  <c r="E16" i="2" s="1"/>
  <c r="C16" i="2"/>
  <c r="D15" i="2"/>
  <c r="E15" i="2" s="1"/>
  <c r="C15" i="2"/>
  <c r="E14" i="2"/>
  <c r="D14" i="2"/>
  <c r="C14" i="2"/>
  <c r="E13" i="2"/>
  <c r="D13" i="2"/>
  <c r="C13" i="2"/>
  <c r="D12" i="2"/>
  <c r="E12" i="2" s="1"/>
  <c r="C12" i="2"/>
  <c r="D11" i="2"/>
  <c r="E11" i="2" s="1"/>
  <c r="C11" i="2"/>
  <c r="D10" i="2"/>
  <c r="E10" i="2" s="1"/>
  <c r="C10" i="2"/>
  <c r="D9" i="2"/>
  <c r="E9" i="2" s="1"/>
  <c r="C9" i="2"/>
  <c r="D8" i="2"/>
  <c r="E8" i="2" s="1"/>
  <c r="C8" i="2"/>
  <c r="D7" i="2"/>
  <c r="E7" i="2" s="1"/>
  <c r="C7" i="2"/>
  <c r="E6" i="2"/>
  <c r="D6" i="2"/>
  <c r="C6" i="2"/>
  <c r="E5" i="2"/>
  <c r="D5" i="2"/>
  <c r="C5" i="2"/>
  <c r="D4" i="2"/>
  <c r="E4" i="2" s="1"/>
  <c r="C4" i="2"/>
  <c r="D3" i="2"/>
  <c r="E3" i="2" s="1"/>
  <c r="C3" i="2"/>
  <c r="D2" i="2"/>
  <c r="E2" i="2" s="1"/>
  <c r="C2" i="2"/>
  <c r="B9" i="15" l="1"/>
  <c r="B9" i="12"/>
  <c r="H2" i="6"/>
  <c r="D5" i="6"/>
  <c r="I20" i="6" l="1"/>
  <c r="I11" i="15" l="1"/>
  <c r="G11" i="15"/>
  <c r="F11" i="15"/>
  <c r="D11" i="15"/>
  <c r="C11" i="15"/>
  <c r="B11" i="15"/>
  <c r="B10" i="15"/>
  <c r="E9" i="12" l="1"/>
  <c r="E9" i="15" s="1"/>
  <c r="C4" i="13" l="1"/>
  <c r="G2" i="13"/>
  <c r="C21" i="6" l="1"/>
  <c r="C22" i="6"/>
  <c r="C23" i="6"/>
  <c r="C24" i="6"/>
  <c r="C25" i="6"/>
  <c r="C26" i="6"/>
  <c r="C27" i="6"/>
  <c r="C28" i="6"/>
  <c r="C29" i="6"/>
  <c r="C30" i="6"/>
  <c r="C31" i="6"/>
  <c r="C32" i="6"/>
  <c r="C33" i="6"/>
  <c r="C34" i="6"/>
  <c r="C35" i="6"/>
  <c r="C36" i="6"/>
  <c r="C37" i="6"/>
  <c r="C38" i="6"/>
  <c r="C39" i="6"/>
  <c r="C40" i="6"/>
  <c r="C41" i="6"/>
  <c r="C42" i="6"/>
  <c r="C43" i="6"/>
  <c r="C44" i="6"/>
  <c r="C45" i="6"/>
  <c r="C46" i="6"/>
  <c r="C47" i="6"/>
  <c r="C48" i="6"/>
  <c r="C49" i="6"/>
  <c r="C50" i="6"/>
  <c r="C51" i="6"/>
  <c r="C52" i="6"/>
  <c r="C53" i="6"/>
  <c r="C54" i="6"/>
  <c r="C55" i="6"/>
  <c r="C56" i="6"/>
  <c r="C57" i="6"/>
  <c r="C58" i="6"/>
  <c r="C59" i="6"/>
  <c r="C60" i="6"/>
  <c r="C61" i="6"/>
  <c r="C62" i="6"/>
  <c r="C63" i="6"/>
  <c r="C64" i="6"/>
  <c r="C65" i="6"/>
  <c r="C66" i="6"/>
  <c r="C67" i="6"/>
  <c r="C68" i="6"/>
  <c r="C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20" i="6"/>
  <c r="B5" i="15" l="1"/>
  <c r="B5" i="12"/>
  <c r="Y21" i="6" l="1"/>
  <c r="Y22" i="6"/>
  <c r="Y23" i="6"/>
  <c r="Y24" i="6"/>
  <c r="Y25" i="6"/>
  <c r="Y26" i="6"/>
  <c r="Y27" i="6"/>
  <c r="Y28" i="6"/>
  <c r="Y29" i="6"/>
  <c r="Y30" i="6"/>
  <c r="Y31" i="6"/>
  <c r="Y32" i="6"/>
  <c r="Y33" i="6"/>
  <c r="Y34" i="6"/>
  <c r="Y35" i="6"/>
  <c r="Y36" i="6"/>
  <c r="Y37" i="6"/>
  <c r="Y38" i="6"/>
  <c r="Y39" i="6"/>
  <c r="Y40" i="6"/>
  <c r="Y41" i="6"/>
  <c r="Y42" i="6"/>
  <c r="Y43" i="6"/>
  <c r="Y44" i="6"/>
  <c r="Y45" i="6"/>
  <c r="Y46" i="6"/>
  <c r="Y47" i="6"/>
  <c r="Y48" i="6"/>
  <c r="Y49" i="6"/>
  <c r="Y50" i="6"/>
  <c r="Y51" i="6"/>
  <c r="Y52" i="6"/>
  <c r="Y53" i="6"/>
  <c r="Y54" i="6"/>
  <c r="Y55" i="6"/>
  <c r="Y56" i="6"/>
  <c r="Y57" i="6"/>
  <c r="Y58" i="6"/>
  <c r="Y59" i="6"/>
  <c r="Y60" i="6"/>
  <c r="Y61" i="6"/>
  <c r="Y62" i="6"/>
  <c r="Y63" i="6"/>
  <c r="Y64" i="6"/>
  <c r="Y65" i="6"/>
  <c r="Y66" i="6"/>
  <c r="Y67" i="6"/>
  <c r="Y68" i="6"/>
  <c r="Y20" i="6"/>
  <c r="X21" i="6"/>
  <c r="X22" i="6"/>
  <c r="X23" i="6"/>
  <c r="X24" i="6"/>
  <c r="X25" i="6"/>
  <c r="X26" i="6"/>
  <c r="X27" i="6"/>
  <c r="X28" i="6"/>
  <c r="X29" i="6"/>
  <c r="X30" i="6"/>
  <c r="X31" i="6"/>
  <c r="X32" i="6"/>
  <c r="X33" i="6"/>
  <c r="X34" i="6"/>
  <c r="X35" i="6"/>
  <c r="X36" i="6"/>
  <c r="X37" i="6"/>
  <c r="X38" i="6"/>
  <c r="X39" i="6"/>
  <c r="X40" i="6"/>
  <c r="X41" i="6"/>
  <c r="X42" i="6"/>
  <c r="X43" i="6"/>
  <c r="X44" i="6"/>
  <c r="X45" i="6"/>
  <c r="X46" i="6"/>
  <c r="X47" i="6"/>
  <c r="X48" i="6"/>
  <c r="X49" i="6"/>
  <c r="X50" i="6"/>
  <c r="X51" i="6"/>
  <c r="X52" i="6"/>
  <c r="X53" i="6"/>
  <c r="X54" i="6"/>
  <c r="X55" i="6"/>
  <c r="X56" i="6"/>
  <c r="X57" i="6"/>
  <c r="X58" i="6"/>
  <c r="X59" i="6"/>
  <c r="X60" i="6"/>
  <c r="X61" i="6"/>
  <c r="X62" i="6"/>
  <c r="X63" i="6"/>
  <c r="X64" i="6"/>
  <c r="X65" i="6"/>
  <c r="X66" i="6"/>
  <c r="X67" i="6"/>
  <c r="X68" i="6"/>
  <c r="X20" i="6"/>
  <c r="W22" i="6"/>
  <c r="W23" i="6"/>
  <c r="W25" i="6"/>
  <c r="W26" i="6"/>
  <c r="W27" i="6"/>
  <c r="W28" i="6"/>
  <c r="W29" i="6"/>
  <c r="W30" i="6"/>
  <c r="W31" i="6"/>
  <c r="W32" i="6"/>
  <c r="W33" i="6"/>
  <c r="W34" i="6"/>
  <c r="W35" i="6"/>
  <c r="W36" i="6"/>
  <c r="W37" i="6"/>
  <c r="W38" i="6"/>
  <c r="W39" i="6"/>
  <c r="W40" i="6"/>
  <c r="W41" i="6"/>
  <c r="W42" i="6"/>
  <c r="W43" i="6"/>
  <c r="W44" i="6"/>
  <c r="W45" i="6"/>
  <c r="W46" i="6"/>
  <c r="W47" i="6"/>
  <c r="W48" i="6"/>
  <c r="W49" i="6"/>
  <c r="W50" i="6"/>
  <c r="W51" i="6"/>
  <c r="W52" i="6"/>
  <c r="W53" i="6"/>
  <c r="W54" i="6"/>
  <c r="W55" i="6"/>
  <c r="W56" i="6"/>
  <c r="W57" i="6"/>
  <c r="W58" i="6"/>
  <c r="W59" i="6"/>
  <c r="W60" i="6"/>
  <c r="W61" i="6"/>
  <c r="W62" i="6"/>
  <c r="W63" i="6"/>
  <c r="W64" i="6"/>
  <c r="W65" i="6"/>
  <c r="W66" i="6"/>
  <c r="W67" i="6"/>
  <c r="W68" i="6"/>
  <c r="U21" i="6"/>
  <c r="U22" i="6"/>
  <c r="U23" i="6"/>
  <c r="U24" i="6"/>
  <c r="U25" i="6"/>
  <c r="U26" i="6"/>
  <c r="U27" i="6"/>
  <c r="U28" i="6"/>
  <c r="U29" i="6"/>
  <c r="U30" i="6"/>
  <c r="U31" i="6"/>
  <c r="U32" i="6"/>
  <c r="U33" i="6"/>
  <c r="U34" i="6"/>
  <c r="U35" i="6"/>
  <c r="U36" i="6"/>
  <c r="U37" i="6"/>
  <c r="U38" i="6"/>
  <c r="U39" i="6"/>
  <c r="U40" i="6"/>
  <c r="U41" i="6"/>
  <c r="U42" i="6"/>
  <c r="U43" i="6"/>
  <c r="U44" i="6"/>
  <c r="U45" i="6"/>
  <c r="U46" i="6"/>
  <c r="U47" i="6"/>
  <c r="U48" i="6"/>
  <c r="U49" i="6"/>
  <c r="U50" i="6"/>
  <c r="U51" i="6"/>
  <c r="U52" i="6"/>
  <c r="U53" i="6"/>
  <c r="U54" i="6"/>
  <c r="U55" i="6"/>
  <c r="U56" i="6"/>
  <c r="U57" i="6"/>
  <c r="U58" i="6"/>
  <c r="U59" i="6"/>
  <c r="U60" i="6"/>
  <c r="U61" i="6"/>
  <c r="U62" i="6"/>
  <c r="U63" i="6"/>
  <c r="U64" i="6"/>
  <c r="U65" i="6"/>
  <c r="U66" i="6"/>
  <c r="U67" i="6"/>
  <c r="U68" i="6"/>
  <c r="U20" i="6"/>
  <c r="T21" i="6"/>
  <c r="T22" i="6"/>
  <c r="T23" i="6"/>
  <c r="T24" i="6"/>
  <c r="T25" i="6"/>
  <c r="T26" i="6"/>
  <c r="T27" i="6"/>
  <c r="T28" i="6"/>
  <c r="T29" i="6"/>
  <c r="T30" i="6"/>
  <c r="T31" i="6"/>
  <c r="T32" i="6"/>
  <c r="T33" i="6"/>
  <c r="T34" i="6"/>
  <c r="T35" i="6"/>
  <c r="T36" i="6"/>
  <c r="T37" i="6"/>
  <c r="T38" i="6"/>
  <c r="T39" i="6"/>
  <c r="T40" i="6"/>
  <c r="T41" i="6"/>
  <c r="T42" i="6"/>
  <c r="T43" i="6"/>
  <c r="T44" i="6"/>
  <c r="T45" i="6"/>
  <c r="T46" i="6"/>
  <c r="T47" i="6"/>
  <c r="T48" i="6"/>
  <c r="T49" i="6"/>
  <c r="T50" i="6"/>
  <c r="T51" i="6"/>
  <c r="T52" i="6"/>
  <c r="T53" i="6"/>
  <c r="T54" i="6"/>
  <c r="T55" i="6"/>
  <c r="T56" i="6"/>
  <c r="T57" i="6"/>
  <c r="T58" i="6"/>
  <c r="T59" i="6"/>
  <c r="T60" i="6"/>
  <c r="T61" i="6"/>
  <c r="T62" i="6"/>
  <c r="T63" i="6"/>
  <c r="T64" i="6"/>
  <c r="T65" i="6"/>
  <c r="T66" i="6"/>
  <c r="T67" i="6"/>
  <c r="T68" i="6"/>
  <c r="T20" i="6"/>
  <c r="S21" i="6"/>
  <c r="S24" i="6"/>
  <c r="S32" i="6"/>
  <c r="S33" i="6"/>
  <c r="S34" i="6"/>
  <c r="S35" i="6"/>
  <c r="S36" i="6"/>
  <c r="S37" i="6"/>
  <c r="S38" i="6"/>
  <c r="S39" i="6"/>
  <c r="S40" i="6"/>
  <c r="S41" i="6"/>
  <c r="S42" i="6"/>
  <c r="S43" i="6"/>
  <c r="S44" i="6"/>
  <c r="S45" i="6"/>
  <c r="S46" i="6"/>
  <c r="S47" i="6"/>
  <c r="S48" i="6"/>
  <c r="S49" i="6"/>
  <c r="S50" i="6"/>
  <c r="S51" i="6"/>
  <c r="S52" i="6"/>
  <c r="S53" i="6"/>
  <c r="S54" i="6"/>
  <c r="S55" i="6"/>
  <c r="S56" i="6"/>
  <c r="S57" i="6"/>
  <c r="S58" i="6"/>
  <c r="S59" i="6"/>
  <c r="S60" i="6"/>
  <c r="S61" i="6"/>
  <c r="S62" i="6"/>
  <c r="S63" i="6"/>
  <c r="S64" i="6"/>
  <c r="S65" i="6"/>
  <c r="S66" i="6"/>
  <c r="S67" i="6"/>
  <c r="S68" i="6"/>
  <c r="S20" i="6"/>
  <c r="W21" i="6"/>
  <c r="S22" i="6"/>
  <c r="S23" i="6"/>
  <c r="W24" i="6"/>
  <c r="S25" i="6"/>
  <c r="S26" i="6"/>
  <c r="S27" i="6"/>
  <c r="S28" i="6"/>
  <c r="S29" i="6"/>
  <c r="S30" i="6"/>
  <c r="S31" i="6"/>
  <c r="W20" i="6"/>
  <c r="G69" i="6" l="1"/>
  <c r="I37" i="6"/>
  <c r="I38" i="6"/>
  <c r="I39" i="6"/>
  <c r="I40" i="6"/>
  <c r="I41" i="6"/>
  <c r="I42" i="6"/>
  <c r="I43" i="6"/>
  <c r="I44" i="6"/>
  <c r="I45" i="6"/>
  <c r="I46" i="6"/>
  <c r="I47" i="6"/>
  <c r="I48" i="6"/>
  <c r="I49" i="6"/>
  <c r="I50" i="6"/>
  <c r="I51" i="6"/>
  <c r="I52" i="6"/>
  <c r="I53" i="6"/>
  <c r="I54" i="6"/>
  <c r="I55" i="6"/>
  <c r="I56" i="6"/>
  <c r="I57" i="6"/>
  <c r="I58" i="6"/>
  <c r="I59" i="6"/>
  <c r="I60" i="6"/>
  <c r="I61" i="6"/>
  <c r="I62" i="6"/>
  <c r="I63" i="6"/>
  <c r="I64" i="6"/>
  <c r="I65" i="6"/>
  <c r="I66" i="6"/>
  <c r="I67" i="6"/>
  <c r="I68" i="6"/>
  <c r="H18" i="13"/>
  <c r="H17" i="13"/>
  <c r="D17" i="13"/>
  <c r="H16" i="13"/>
  <c r="D16" i="13"/>
  <c r="H15" i="13"/>
  <c r="D15" i="13"/>
  <c r="H14" i="13"/>
  <c r="D14" i="13"/>
  <c r="H13" i="13"/>
  <c r="D13" i="13"/>
  <c r="H12" i="13"/>
  <c r="D12" i="13"/>
  <c r="H11" i="13"/>
  <c r="D11" i="13"/>
  <c r="D20" i="13" l="1"/>
  <c r="H20" i="13"/>
  <c r="H21" i="13" l="1"/>
  <c r="I11" i="6" s="1"/>
  <c r="H69" i="6"/>
  <c r="I14" i="6" s="1"/>
  <c r="H14" i="6" s="1"/>
  <c r="I21" i="6" l="1"/>
  <c r="I22" i="6" s="1"/>
  <c r="I23" i="6" s="1"/>
  <c r="I24" i="6" s="1"/>
  <c r="I25" i="6" s="1"/>
  <c r="I26" i="6" s="1"/>
  <c r="I27" i="6" s="1"/>
  <c r="I28" i="6" s="1"/>
  <c r="I29" i="6" s="1"/>
  <c r="I30" i="6" s="1"/>
  <c r="I31" i="6" s="1"/>
  <c r="I32" i="6" s="1"/>
  <c r="I33" i="6" s="1"/>
  <c r="I34" i="6" s="1"/>
  <c r="I35" i="6" s="1"/>
  <c r="I36" i="6" s="1"/>
  <c r="I16" i="6"/>
  <c r="I69" i="6"/>
  <c r="L19" i="12"/>
  <c r="L54" i="12" l="1"/>
  <c r="L31" i="12"/>
  <c r="L30" i="12"/>
  <c r="L37" i="12"/>
  <c r="L62" i="12"/>
  <c r="L46" i="12"/>
  <c r="L59" i="12"/>
  <c r="L28" i="12"/>
  <c r="L43" i="12"/>
  <c r="L58" i="12"/>
  <c r="L50" i="12"/>
  <c r="L38" i="12"/>
  <c r="L22" i="12"/>
  <c r="L47" i="12"/>
  <c r="L56" i="12"/>
  <c r="L53" i="12"/>
  <c r="L21" i="12"/>
  <c r="L52" i="12"/>
  <c r="L42" i="12"/>
  <c r="L34" i="12"/>
  <c r="L26" i="12"/>
  <c r="L18" i="12"/>
  <c r="L55" i="12"/>
  <c r="L39" i="12"/>
  <c r="M39" i="12" s="1"/>
  <c r="L23" i="12"/>
  <c r="L40" i="12"/>
  <c r="L61" i="12"/>
  <c r="L45" i="12"/>
  <c r="L29" i="12"/>
  <c r="L63" i="12"/>
  <c r="L27" i="12"/>
  <c r="L32" i="12"/>
  <c r="L64" i="12"/>
  <c r="L48" i="12"/>
  <c r="L36" i="12"/>
  <c r="L20" i="12"/>
  <c r="L57" i="12"/>
  <c r="L49" i="12"/>
  <c r="L41" i="12"/>
  <c r="L33" i="12"/>
  <c r="M34" i="12" s="1"/>
  <c r="L25" i="12"/>
  <c r="L17" i="12"/>
  <c r="L51" i="12"/>
  <c r="L35" i="12"/>
  <c r="L60" i="12"/>
  <c r="L44" i="12"/>
  <c r="L16" i="12"/>
  <c r="M16" i="12" s="1"/>
  <c r="L64" i="15"/>
  <c r="L46" i="15"/>
  <c r="L40" i="15"/>
  <c r="L36" i="15"/>
  <c r="L32" i="15"/>
  <c r="L28" i="15"/>
  <c r="L24" i="15"/>
  <c r="L20" i="15"/>
  <c r="L16" i="15"/>
  <c r="M16" i="15" s="1"/>
  <c r="L63" i="15"/>
  <c r="L61" i="15"/>
  <c r="L59" i="15"/>
  <c r="L57" i="15"/>
  <c r="L55" i="15"/>
  <c r="L53" i="15"/>
  <c r="L51" i="15"/>
  <c r="L49" i="15"/>
  <c r="L47" i="15"/>
  <c r="M47" i="15" s="1"/>
  <c r="L45" i="15"/>
  <c r="L43" i="15"/>
  <c r="L41" i="15"/>
  <c r="L39" i="15"/>
  <c r="L37" i="15"/>
  <c r="L35" i="15"/>
  <c r="L33" i="15"/>
  <c r="L31" i="15"/>
  <c r="L29" i="15"/>
  <c r="L27" i="15"/>
  <c r="L25" i="15"/>
  <c r="L23" i="15"/>
  <c r="L21" i="15"/>
  <c r="L17" i="15"/>
  <c r="L18" i="15"/>
  <c r="L62" i="15"/>
  <c r="L60" i="15"/>
  <c r="L58" i="15"/>
  <c r="L56" i="15"/>
  <c r="L54" i="15"/>
  <c r="L52" i="15"/>
  <c r="L50" i="15"/>
  <c r="L48" i="15"/>
  <c r="L44" i="15"/>
  <c r="L42" i="15"/>
  <c r="L38" i="15"/>
  <c r="L34" i="15"/>
  <c r="L30" i="15"/>
  <c r="L26" i="15"/>
  <c r="L22" i="15"/>
  <c r="L19" i="15"/>
  <c r="L24" i="12"/>
  <c r="M47" i="12" l="1"/>
  <c r="M38" i="12"/>
  <c r="M55" i="12"/>
  <c r="M26" i="15"/>
  <c r="M44" i="15"/>
  <c r="M43" i="12"/>
  <c r="M42" i="15"/>
  <c r="M62" i="12"/>
  <c r="M48" i="12"/>
  <c r="M33" i="15"/>
  <c r="M56" i="12"/>
  <c r="M40" i="12"/>
  <c r="M42" i="12"/>
  <c r="M34" i="15"/>
  <c r="M25" i="15"/>
  <c r="M41" i="15"/>
  <c r="M61" i="12"/>
  <c r="M57" i="12"/>
  <c r="M49" i="12"/>
  <c r="M46" i="12"/>
  <c r="M59" i="12"/>
  <c r="M37" i="12"/>
  <c r="M41" i="12"/>
  <c r="M60" i="12"/>
  <c r="M50" i="12"/>
  <c r="M63" i="12"/>
  <c r="M54" i="12"/>
  <c r="M52" i="12"/>
  <c r="M58" i="12"/>
  <c r="M64" i="12"/>
  <c r="M35" i="12"/>
  <c r="M51" i="12"/>
  <c r="M45" i="12"/>
  <c r="M33" i="12"/>
  <c r="M53" i="12"/>
  <c r="M44" i="12"/>
  <c r="M17" i="12"/>
  <c r="M36" i="12"/>
  <c r="M48" i="15"/>
  <c r="M52" i="15"/>
  <c r="M56" i="15"/>
  <c r="M60" i="15"/>
  <c r="M21" i="15"/>
  <c r="M29" i="15"/>
  <c r="M37" i="15"/>
  <c r="M30" i="15"/>
  <c r="M50" i="15"/>
  <c r="M54" i="15"/>
  <c r="M58" i="15"/>
  <c r="M62" i="15"/>
  <c r="M17" i="15"/>
  <c r="M18" i="15" s="1"/>
  <c r="M39" i="15"/>
  <c r="M38" i="15"/>
  <c r="M23" i="15"/>
  <c r="M27" i="15"/>
  <c r="M31" i="15"/>
  <c r="M35" i="15"/>
  <c r="M43" i="15"/>
  <c r="M51" i="15"/>
  <c r="M55" i="15"/>
  <c r="M59" i="15"/>
  <c r="M63" i="15"/>
  <c r="M28" i="15"/>
  <c r="M36" i="15"/>
  <c r="M46" i="15"/>
  <c r="M19" i="15"/>
  <c r="M20" i="15" s="1"/>
  <c r="M22" i="15"/>
  <c r="M45" i="15"/>
  <c r="M49" i="15"/>
  <c r="M53" i="15"/>
  <c r="M57" i="15"/>
  <c r="M61" i="15"/>
  <c r="M24" i="15"/>
  <c r="M32" i="15"/>
  <c r="M40" i="15"/>
  <c r="M64" i="15"/>
  <c r="M18" i="12" l="1"/>
  <c r="N22" i="15"/>
  <c r="O22" i="15" s="1"/>
  <c r="B22" i="15" s="1"/>
  <c r="N29" i="15"/>
  <c r="N30" i="15"/>
  <c r="N20" i="15"/>
  <c r="N16" i="15"/>
  <c r="N27" i="15"/>
  <c r="N17" i="15"/>
  <c r="N28" i="15"/>
  <c r="N19" i="15"/>
  <c r="N23" i="15"/>
  <c r="N26" i="15"/>
  <c r="N25" i="15"/>
  <c r="N21" i="15"/>
  <c r="N31" i="15"/>
  <c r="N24" i="15"/>
  <c r="N18" i="15"/>
  <c r="M19" i="12" l="1"/>
  <c r="A22" i="15"/>
  <c r="E22" i="15"/>
  <c r="H22" i="15" s="1"/>
  <c r="O18" i="15"/>
  <c r="B18" i="15" s="1"/>
  <c r="A18" i="15"/>
  <c r="E18" i="15"/>
  <c r="H18" i="15" s="1"/>
  <c r="O31" i="15"/>
  <c r="A31" i="15"/>
  <c r="B31" i="15"/>
  <c r="E31" i="15"/>
  <c r="H31" i="15" s="1"/>
  <c r="O25" i="15"/>
  <c r="A25" i="15"/>
  <c r="B25" i="15"/>
  <c r="E25" i="15"/>
  <c r="H25" i="15" s="1"/>
  <c r="O23" i="15"/>
  <c r="A23" i="15"/>
  <c r="E23" i="15"/>
  <c r="H23" i="15" s="1"/>
  <c r="B23" i="15"/>
  <c r="O28" i="15"/>
  <c r="A28" i="15"/>
  <c r="B28" i="15"/>
  <c r="E28" i="15"/>
  <c r="H28" i="15" s="1"/>
  <c r="O27" i="15"/>
  <c r="A27" i="15"/>
  <c r="E27" i="15"/>
  <c r="H27" i="15" s="1"/>
  <c r="B27" i="15"/>
  <c r="O20" i="15"/>
  <c r="A20" i="15"/>
  <c r="B20" i="15"/>
  <c r="E20" i="15"/>
  <c r="H20" i="15" s="1"/>
  <c r="O29" i="15"/>
  <c r="A29" i="15"/>
  <c r="E29" i="15"/>
  <c r="H29" i="15" s="1"/>
  <c r="B29" i="15"/>
  <c r="O24" i="15"/>
  <c r="A24" i="15"/>
  <c r="E24" i="15"/>
  <c r="H24" i="15" s="1"/>
  <c r="B24" i="15"/>
  <c r="O21" i="15"/>
  <c r="A21" i="15"/>
  <c r="B21" i="15"/>
  <c r="E21" i="15"/>
  <c r="H21" i="15" s="1"/>
  <c r="O26" i="15"/>
  <c r="A26" i="15"/>
  <c r="B26" i="15"/>
  <c r="E26" i="15"/>
  <c r="H26" i="15" s="1"/>
  <c r="O19" i="15"/>
  <c r="B19" i="15" s="1"/>
  <c r="A19" i="15"/>
  <c r="E19" i="15"/>
  <c r="H19" i="15" s="1"/>
  <c r="O17" i="15"/>
  <c r="B17" i="15" s="1"/>
  <c r="A17" i="15"/>
  <c r="E17" i="15"/>
  <c r="H17" i="15" s="1"/>
  <c r="O16" i="15"/>
  <c r="B16" i="15" s="1"/>
  <c r="A16" i="15"/>
  <c r="E16" i="15"/>
  <c r="H16" i="15" s="1"/>
  <c r="O30" i="15"/>
  <c r="A30" i="15"/>
  <c r="E30" i="15"/>
  <c r="H30" i="15" s="1"/>
  <c r="B30" i="15"/>
  <c r="M20" i="12" l="1"/>
  <c r="M21" i="12" s="1"/>
  <c r="A32" i="15"/>
  <c r="B32" i="15" s="1"/>
  <c r="M22" i="12" l="1"/>
  <c r="M23" i="12" s="1"/>
  <c r="M24" i="12" s="1"/>
  <c r="M25" i="12" s="1"/>
  <c r="M26" i="12" s="1"/>
  <c r="M27" i="12" s="1"/>
  <c r="I2" i="15" l="1"/>
  <c r="I2" i="12"/>
  <c r="M28" i="12"/>
  <c r="M29" i="12" l="1"/>
  <c r="M30" i="12" s="1"/>
  <c r="M31" i="12" s="1"/>
  <c r="M32" i="12" s="1"/>
  <c r="N17" i="12" l="1"/>
  <c r="N20" i="12"/>
  <c r="N23" i="12"/>
  <c r="N26" i="12"/>
  <c r="N27" i="12"/>
  <c r="N31" i="12"/>
  <c r="N30" i="12"/>
  <c r="N19" i="12"/>
  <c r="N16" i="12"/>
  <c r="N24" i="12"/>
  <c r="N29" i="12"/>
  <c r="N22" i="12"/>
  <c r="N28" i="12"/>
  <c r="N25" i="12"/>
  <c r="N18" i="12"/>
  <c r="N21" i="12"/>
  <c r="O21" i="12" l="1"/>
  <c r="B21" i="12" s="1"/>
  <c r="E21" i="12"/>
  <c r="H21" i="12" s="1"/>
  <c r="A21" i="12"/>
  <c r="O25" i="12"/>
  <c r="B25" i="12" s="1"/>
  <c r="A25" i="12"/>
  <c r="E25" i="12"/>
  <c r="H25" i="12" s="1"/>
  <c r="A22" i="12"/>
  <c r="O22" i="12"/>
  <c r="B22" i="12" s="1"/>
  <c r="E22" i="12"/>
  <c r="H22" i="12" s="1"/>
  <c r="A24" i="12"/>
  <c r="O24" i="12"/>
  <c r="B24" i="12" s="1"/>
  <c r="E24" i="12"/>
  <c r="H24" i="12" s="1"/>
  <c r="O19" i="12"/>
  <c r="B19" i="12" s="1"/>
  <c r="E19" i="12"/>
  <c r="H19" i="12" s="1"/>
  <c r="A19" i="12"/>
  <c r="O31" i="12"/>
  <c r="B31" i="12" s="1"/>
  <c r="A31" i="12"/>
  <c r="E31" i="12"/>
  <c r="H31" i="12" s="1"/>
  <c r="E26" i="12"/>
  <c r="H26" i="12" s="1"/>
  <c r="O26" i="12"/>
  <c r="B26" i="12" s="1"/>
  <c r="A26" i="12"/>
  <c r="O20" i="12"/>
  <c r="B20" i="12" s="1"/>
  <c r="E20" i="12"/>
  <c r="H20" i="12" s="1"/>
  <c r="A20" i="12"/>
  <c r="O18" i="12"/>
  <c r="B18" i="12" s="1"/>
  <c r="A18" i="12"/>
  <c r="E18" i="12"/>
  <c r="H18" i="12" s="1"/>
  <c r="E28" i="12"/>
  <c r="H28" i="12" s="1"/>
  <c r="A28" i="12"/>
  <c r="O28" i="12"/>
  <c r="B28" i="12" s="1"/>
  <c r="E29" i="12"/>
  <c r="H29" i="12" s="1"/>
  <c r="A29" i="12"/>
  <c r="O29" i="12"/>
  <c r="B29" i="12" s="1"/>
  <c r="O16" i="12"/>
  <c r="B16" i="12" s="1"/>
  <c r="A16" i="12"/>
  <c r="E16" i="12"/>
  <c r="H16" i="12" s="1"/>
  <c r="E30" i="12"/>
  <c r="H30" i="12" s="1"/>
  <c r="O30" i="12"/>
  <c r="B30" i="12" s="1"/>
  <c r="A30" i="12"/>
  <c r="O27" i="12"/>
  <c r="B27" i="12" s="1"/>
  <c r="E27" i="12"/>
  <c r="H27" i="12" s="1"/>
  <c r="A27" i="12"/>
  <c r="O23" i="12"/>
  <c r="B23" i="12" s="1"/>
  <c r="A23" i="12"/>
  <c r="E23" i="12"/>
  <c r="H23" i="12" s="1"/>
  <c r="O17" i="12"/>
  <c r="B17" i="12" s="1"/>
  <c r="A17" i="12"/>
  <c r="E17" i="12"/>
  <c r="H17" i="12" s="1"/>
  <c r="A32" i="12" l="1"/>
  <c r="B32" i="12" s="1"/>
</calcChain>
</file>

<file path=xl/comments1.xml><?xml version="1.0" encoding="utf-8"?>
<comments xmlns="http://schemas.openxmlformats.org/spreadsheetml/2006/main">
  <authors>
    <author>Stafast, Silvia</author>
  </authors>
  <commentList>
    <comment ref="A1" authorId="0">
      <text>
        <r>
          <rPr>
            <b/>
            <sz val="9"/>
            <color indexed="81"/>
            <rFont val="Segoe UI"/>
            <family val="2"/>
          </rPr>
          <t>Stafast, Silvia:</t>
        </r>
        <r>
          <rPr>
            <sz val="9"/>
            <color indexed="81"/>
            <rFont val="Segoe UI"/>
            <family val="2"/>
          </rPr>
          <t xml:space="preserve">
Formatierung für SVERWEIS prüfen - muss "codigo postal" sein!!!!!</t>
        </r>
      </text>
    </comment>
  </commentList>
</comments>
</file>

<file path=xl/sharedStrings.xml><?xml version="1.0" encoding="utf-8"?>
<sst xmlns="http://schemas.openxmlformats.org/spreadsheetml/2006/main" count="986" uniqueCount="620">
  <si>
    <t>Betrag</t>
  </si>
  <si>
    <t>IBAN:</t>
  </si>
  <si>
    <t>Bankname:</t>
  </si>
  <si>
    <t>AObj.</t>
  </si>
  <si>
    <t>RV</t>
  </si>
  <si>
    <t>RT</t>
  </si>
  <si>
    <t>Version</t>
  </si>
  <si>
    <t>Datum</t>
  </si>
  <si>
    <t>Beschreibung der Änderung</t>
  </si>
  <si>
    <r>
      <rPr>
        <b/>
        <sz val="13"/>
        <rFont val="Calibri"/>
        <family val="2"/>
        <scheme val="minor"/>
      </rPr>
      <t>EVANGELISCHE KIRCHE</t>
    </r>
    <r>
      <rPr>
        <b/>
        <sz val="11"/>
        <rFont val="Calibri"/>
        <family val="2"/>
        <scheme val="minor"/>
      </rPr>
      <t xml:space="preserve">
</t>
    </r>
    <r>
      <rPr>
        <b/>
        <sz val="10"/>
        <rFont val="Calibri"/>
        <family val="2"/>
        <scheme val="minor"/>
      </rPr>
      <t>IN HESSEN UND NASSAU</t>
    </r>
  </si>
  <si>
    <t>Eingabe der Rechtsträger-Nr.
im rot hinterlegten Feld!</t>
  </si>
  <si>
    <t>Mandant</t>
  </si>
  <si>
    <t>Kirchengemeinde / Dekanat /RV</t>
  </si>
  <si>
    <t>Handkasse der</t>
  </si>
  <si>
    <t>Änderung des Abrufs der Mandanten-Nr. (Anpassung SVERWEIS)
Änderung der Datenbanken der Rechtsträger</t>
  </si>
  <si>
    <t>Dekanat</t>
  </si>
  <si>
    <t>Ergänzung RT "Gesamtgemeinde Wiesbaden" in Datenbank RT</t>
  </si>
  <si>
    <t>1.5</t>
  </si>
  <si>
    <t>Formatierung der Felder Aobj und SaKo als Text</t>
  </si>
  <si>
    <t>1.6</t>
  </si>
  <si>
    <t>1.7</t>
  </si>
  <si>
    <t>Änderung des Passwortes zum Zellschutz</t>
  </si>
  <si>
    <t>Änderungen basierend auf den Ergebnissen des Workshops "Buchungsblätter" vom 20.07.2016:</t>
  </si>
  <si>
    <t>Veränderung Beschreibung der Handkasse im RT. z.B. "HK 3398 Gemeindebüro"
entsprechende Veränderung der DB "RT". Unterteilung in zwei Felder. Die erste
Zelle wird automatisch über einen SVERWEIS gefüllt, die zweite Zelle kann
überschrieben werden, da kein Zellenschutz.</t>
  </si>
  <si>
    <t>Ergänzung Anzahl der Zeilen = insgesamt 12
Korrektur Zahlenformat AObj (alle Blöcke) = Text
Anpassung der Spaltenbreiten für 100%ige Darstellung und Ausdruck
Bedingte Formatierung für Eingabe der RT-Nummer
Farbumstellung EKHN-Logo und Schriftzug auf s/w</t>
  </si>
  <si>
    <t>1.8</t>
  </si>
  <si>
    <t>1.9</t>
  </si>
  <si>
    <t>2.0</t>
  </si>
  <si>
    <t>Integration neue Datenbank RT V1.4</t>
  </si>
  <si>
    <t>Veränderung des Blattschutzes: Es dürfen nur noch "nicht gesperrte Zellen"
ausgewählt werden</t>
  </si>
  <si>
    <t>2.1</t>
  </si>
  <si>
    <t>Aufgrund der besprochenen Änderungen wurde für diese Version des Buchungsblatt Handkasse das "Buchungsblatt" in der Version 1.7
als Basis verwendet!</t>
  </si>
  <si>
    <t>Buchungsblatt Handkasse</t>
  </si>
  <si>
    <t>Name der Handkasse:</t>
  </si>
  <si>
    <t>Änderung "Buchungsblatt" in "Buchungsblatt Handkasse"</t>
  </si>
  <si>
    <t>Entfernung Zeile "Partnerkonto", "Anschrift", "BIC"</t>
  </si>
  <si>
    <t>Einfügen "Name der Handkasse" - wird automatisch anhand der RT-Nr. angezeigt, hierbei kann der Name geändert werden</t>
  </si>
  <si>
    <t>Einfügen von zwei weiteren Buchungszeilen</t>
  </si>
  <si>
    <t>Erweiterung "Name der Handkasse" - es wird in der DB RT das Feld "Handkasse der" angedruckt.
Dieses Feld kann vom Benutzer geändert werden.</t>
  </si>
  <si>
    <t>Dekanat Name</t>
  </si>
  <si>
    <t xml:space="preserve">    Teilnehmerbeiträge</t>
  </si>
  <si>
    <t xml:space="preserve">    Sonstige Zuschüsse von Kommunen</t>
  </si>
  <si>
    <t xml:space="preserve">    Zweckgebundene Spenden</t>
  </si>
  <si>
    <t xml:space="preserve">    Nicht zweckgebundene Spenden</t>
  </si>
  <si>
    <t xml:space="preserve">    Übrige sonstige ordentliche Erträge</t>
  </si>
  <si>
    <t xml:space="preserve">    Zinserträge von Kreditinstituten</t>
  </si>
  <si>
    <t xml:space="preserve">    </t>
  </si>
  <si>
    <t xml:space="preserve">    Übrige sonstige Personalaufwendungen</t>
  </si>
  <si>
    <t xml:space="preserve">    Sonstige Zuschüsse an Dritte</t>
  </si>
  <si>
    <t xml:space="preserve">    Verbrauchsmaterial im kirchlichen Bereich</t>
  </si>
  <si>
    <t xml:space="preserve">    Lebensmittel</t>
  </si>
  <si>
    <t xml:space="preserve">    Getränke</t>
  </si>
  <si>
    <t xml:space="preserve">    Geschäftsbedarf</t>
  </si>
  <si>
    <t xml:space="preserve">    Porto</t>
  </si>
  <si>
    <t xml:space="preserve">    Beschaffungen bis € 410 brutto</t>
  </si>
  <si>
    <t xml:space="preserve">    Spiel- und Beschäftigungsmaterial</t>
  </si>
  <si>
    <t xml:space="preserve">    Reisekosten</t>
  </si>
  <si>
    <t xml:space="preserve">    Aufwendungen für ehrenamtliche Tätigkeit</t>
  </si>
  <si>
    <t xml:space="preserve">    Lehr- und Lernmittel</t>
  </si>
  <si>
    <t xml:space="preserve">    Unterbringungs- und Verpflegungskosten</t>
  </si>
  <si>
    <t xml:space="preserve">    Sonstige Aufwendungen für Aus- und Fortbildung</t>
  </si>
  <si>
    <t xml:space="preserve">    Verbrauchsmaterial</t>
  </si>
  <si>
    <t xml:space="preserve">    Sonstige Verwaltungs- und Betriebsaufwendungen</t>
  </si>
  <si>
    <t xml:space="preserve">    Instandhaltung  der Grundstücke und Außenanlagen</t>
  </si>
  <si>
    <t xml:space="preserve">    Instandhaltung der  Gebäude</t>
  </si>
  <si>
    <t xml:space="preserve">    Instandhaltung von Fahrzeugen</t>
  </si>
  <si>
    <t xml:space="preserve">    Sonstige Betriebs- und Nebenkosten</t>
  </si>
  <si>
    <t xml:space="preserve">    Bewirtungsaufwand</t>
  </si>
  <si>
    <t xml:space="preserve">          </t>
  </si>
  <si>
    <t>Lfd-Nr.</t>
  </si>
  <si>
    <t>Ergänzung des Buchungsblattes durch die Auswahl von Buchungstexten und zugehörigen Sachkonten</t>
  </si>
  <si>
    <t>- Integration neue Datenbank Texte und Sachkonten = SaKo</t>
  </si>
  <si>
    <t>- Integration Formularsteuerelement "Kombinationsfeld"</t>
  </si>
  <si>
    <t>- Freie Eingabe von Text weiterhin möglich, dabei kann allerdings kein Sachkonto zugewiesen werden.</t>
  </si>
  <si>
    <t>- Spalte "D" und "G" eingefügt, die den Abruf des Kombinationsfeldes über SVERWEIS steuern.</t>
  </si>
  <si>
    <r>
      <rPr>
        <b/>
        <sz val="10"/>
        <color rgb="FFFF0000"/>
        <rFont val="Calibri"/>
        <family val="2"/>
        <scheme val="minor"/>
      </rPr>
      <t>Hinweis:</t>
    </r>
    <r>
      <rPr>
        <sz val="10"/>
        <color rgb="FFFF0000"/>
        <rFont val="Calibri"/>
        <family val="2"/>
        <scheme val="minor"/>
      </rPr>
      <t xml:space="preserve"> Wenn die Liste der SaKo erweitert wird, müssen auch im Buchungsblatt  in den einzelnen Steuerelementen die </t>
    </r>
    <r>
      <rPr>
        <i/>
        <sz val="10"/>
        <color rgb="FFFF0000"/>
        <rFont val="Calibri"/>
        <family val="2"/>
        <scheme val="minor"/>
      </rPr>
      <t>"Dropdownzeilen"</t>
    </r>
    <r>
      <rPr>
        <sz val="10"/>
        <color rgb="FFFF0000"/>
        <rFont val="Calibri"/>
        <family val="2"/>
        <scheme val="minor"/>
      </rPr>
      <t xml:space="preserve"> und der "</t>
    </r>
    <r>
      <rPr>
        <i/>
        <sz val="10"/>
        <color rgb="FFFF0000"/>
        <rFont val="Calibri"/>
        <family val="2"/>
        <scheme val="minor"/>
      </rPr>
      <t>Eingabebereich"</t>
    </r>
    <r>
      <rPr>
        <sz val="10"/>
        <color rgb="FFFF0000"/>
        <rFont val="Calibri"/>
        <family val="2"/>
        <scheme val="minor"/>
      </rPr>
      <t xml:space="preserve"> angepasst werden !!</t>
    </r>
  </si>
  <si>
    <t>- Ausblenden der Spalten-/Zeilenköpfe</t>
  </si>
  <si>
    <t>- Ausblenden der Bearbeitungszeile</t>
  </si>
  <si>
    <t>- Ausblenden der Gitternetzlinien</t>
  </si>
  <si>
    <t>2.2</t>
  </si>
  <si>
    <t>Trennung der Erträge und Aufwendungen in zwei Register</t>
  </si>
  <si>
    <r>
      <t xml:space="preserve">Sachkonto
</t>
    </r>
    <r>
      <rPr>
        <b/>
        <sz val="10"/>
        <color rgb="FFFF0000"/>
        <rFont val="Calibri"/>
        <family val="2"/>
        <scheme val="minor"/>
      </rPr>
      <t>Aufwand</t>
    </r>
  </si>
  <si>
    <r>
      <t xml:space="preserve">Sachkonto
</t>
    </r>
    <r>
      <rPr>
        <b/>
        <sz val="10"/>
        <color rgb="FFFF0000"/>
        <rFont val="Calibri"/>
        <family val="2"/>
        <scheme val="minor"/>
      </rPr>
      <t>Ertrag</t>
    </r>
  </si>
  <si>
    <t>- Keine freie Eingabe von Text mehr möglich (Zuweisung Text und SaKo nur noch über Formularfeld möglich)</t>
  </si>
  <si>
    <t>Text</t>
  </si>
  <si>
    <t>SaKo</t>
  </si>
  <si>
    <t>- Überschrift für Text und SaKo geändert - "(optional)" entfernt</t>
  </si>
  <si>
    <t>- Änderung der Formel für die Summierung: Summe wird errechnet, wenn im Feld A16 ein Wert eingetragen wird</t>
  </si>
  <si>
    <t>2.3</t>
  </si>
  <si>
    <r>
      <rPr>
        <b/>
        <i/>
        <sz val="15"/>
        <color theme="1" tint="0.249977111117893"/>
        <rFont val="Calibri"/>
        <family val="2"/>
        <scheme val="minor"/>
      </rPr>
      <t>Buchung</t>
    </r>
    <r>
      <rPr>
        <b/>
        <i/>
        <sz val="14"/>
        <color theme="1" tint="0.249977111117893"/>
        <rFont val="Calibri"/>
        <family val="2"/>
        <scheme val="minor"/>
      </rPr>
      <t xml:space="preserve"> </t>
    </r>
    <r>
      <rPr>
        <b/>
        <i/>
        <sz val="12"/>
        <color theme="1" tint="0.249977111117893"/>
        <rFont val="Calibri"/>
        <family val="2"/>
        <scheme val="minor"/>
      </rPr>
      <t>(Splitbuchung)</t>
    </r>
  </si>
  <si>
    <t>- Negative Beträge werden rot und mit vorgestelltem "-" dargestellt</t>
  </si>
  <si>
    <t xml:space="preserve">    Sonstige kirchliche Verkaufserträge</t>
  </si>
  <si>
    <t xml:space="preserve">    Nutzungsentschädigungen</t>
  </si>
  <si>
    <t xml:space="preserve">    Bücher, Medien, Druckarbeiten</t>
  </si>
  <si>
    <t xml:space="preserve">    Nebenkosten des Geldverkehrs</t>
  </si>
  <si>
    <t xml:space="preserve">    EDV-Aufwendungen</t>
  </si>
  <si>
    <t xml:space="preserve">    Instandhaltung Ausstattung</t>
  </si>
  <si>
    <t xml:space="preserve">    Betriebsaufwendungen Fahrzeuge</t>
  </si>
  <si>
    <t>- Anpassung der Sachkonten gem. Kontenrahmen vom 01.01.2017</t>
  </si>
  <si>
    <t>Matrix1</t>
  </si>
  <si>
    <t>Summe  / Kassenbestand:</t>
  </si>
  <si>
    <t>Summe</t>
  </si>
  <si>
    <t>Papiergeld:</t>
  </si>
  <si>
    <t xml:space="preserve">Papiergeld:   </t>
  </si>
  <si>
    <t>Münzgeld:</t>
  </si>
  <si>
    <t xml:space="preserve">    Leihgebühren</t>
  </si>
  <si>
    <t>Kassenbuch</t>
  </si>
  <si>
    <t>1. Zchn</t>
  </si>
  <si>
    <t>letzer Eintrag</t>
  </si>
  <si>
    <t>Lfd. Nr.</t>
  </si>
  <si>
    <t>Bestand</t>
  </si>
  <si>
    <t>Abrechnung vom</t>
  </si>
  <si>
    <t>Bankbestand lt. Kontoauszug</t>
  </si>
  <si>
    <t>Bestand Handkasse</t>
  </si>
  <si>
    <t>Prüfung Vorschusssumme</t>
  </si>
  <si>
    <r>
      <t xml:space="preserve">Von der Kassenführung wird bescheinigt,
dass Buch-und Kassenbestand übereinstimmen:
</t>
    </r>
    <r>
      <rPr>
        <sz val="9"/>
        <rFont val="Calibri"/>
        <family val="2"/>
        <scheme val="minor"/>
      </rPr>
      <t>(Unterschrift Kassenführung)</t>
    </r>
  </si>
  <si>
    <t>Bereich wird geschützt/ausgeblendet</t>
  </si>
  <si>
    <t>Bereich wird gesperrt und ausgeblendet</t>
  </si>
  <si>
    <t>am</t>
  </si>
  <si>
    <t>Anzahl</t>
  </si>
  <si>
    <r>
      <t xml:space="preserve">Rollgeld  = </t>
    </r>
    <r>
      <rPr>
        <b/>
        <sz val="11"/>
        <rFont val="Calibri"/>
        <family val="2"/>
        <scheme val="minor"/>
      </rPr>
      <t xml:space="preserve">    </t>
    </r>
  </si>
  <si>
    <t>Kassenbestand/bar</t>
  </si>
  <si>
    <t>Tatsächlicher Barbestand der Handkasse</t>
  </si>
  <si>
    <t>Bereich für Buchungsblatt Aufwand</t>
  </si>
  <si>
    <t>Bereich für Buchungsblatt Ertrag</t>
  </si>
  <si>
    <t>Ertrag</t>
  </si>
  <si>
    <t>Aufwand</t>
  </si>
  <si>
    <t>Matrix</t>
  </si>
  <si>
    <t>Gruppen</t>
  </si>
  <si>
    <t>3.0</t>
  </si>
  <si>
    <t>Aufbau eines Kassenbuches mit automatischer Zuordnung der Aufwendungen und Erträge in getrennte Buchungsblätter</t>
  </si>
  <si>
    <r>
      <t xml:space="preserve">- Basisdateien: </t>
    </r>
    <r>
      <rPr>
        <i/>
        <sz val="10"/>
        <rFont val="Calibri"/>
        <family val="2"/>
        <scheme val="minor"/>
      </rPr>
      <t>Handkassenvorschuss.xls</t>
    </r>
    <r>
      <rPr>
        <sz val="10"/>
        <rFont val="Calibri"/>
        <family val="2"/>
        <scheme val="minor"/>
      </rPr>
      <t xml:space="preserve"> (RV Oberhessen) und </t>
    </r>
    <r>
      <rPr>
        <i/>
        <sz val="10"/>
        <rFont val="Calibri"/>
        <family val="2"/>
        <scheme val="minor"/>
      </rPr>
      <t>Buchungsblatt Handkasse V2.3.xlsx</t>
    </r>
  </si>
  <si>
    <t>Zusammenführung beider Dateien mit folgendem Ziel:</t>
  </si>
  <si>
    <t>- Eingabe aller Einzelkassenbelege (Ertrag und Aufwand) in einem Register "Kassenbuch"</t>
  </si>
  <si>
    <t>- Übersicht und Kontrolle der Handkasse durch Eingabe der Kontostände des Girokonto Handkasse, des Handkassenbarbestandes und
  der noch in Bearbeitung der RV befindlichen Belege aus einer vorhergehenden Abrechnung</t>
  </si>
  <si>
    <t>- Nach Eingabe der Einzelpositionen werden diese automatisch in Aufwands- und Ertragspositionen getrennt und pro Abrechnungsobjekt
  und Sachkonto an die Register "Buchungsblatt Aufwand" und "Buchungsblatt Ertrag" übergeben.</t>
  </si>
  <si>
    <t>Erstellt von</t>
  </si>
  <si>
    <t>Silvia Stafast</t>
  </si>
  <si>
    <t>Formeln und Funktionen in den einzelnen Registern:</t>
  </si>
  <si>
    <r>
      <t xml:space="preserve">- </t>
    </r>
    <r>
      <rPr>
        <b/>
        <i/>
        <sz val="10"/>
        <color rgb="FFC00000"/>
        <rFont val="Calibri"/>
        <family val="2"/>
        <scheme val="minor"/>
      </rPr>
      <t>Barbestand:</t>
    </r>
    <r>
      <rPr>
        <sz val="10"/>
        <rFont val="Calibri"/>
        <family val="2"/>
        <scheme val="minor"/>
      </rPr>
      <t xml:space="preserve"> Eingabe des Handkassenbarbestandes über ein Zählbrett und Übergabe der Summe in das Register "Kassenbuch"</t>
    </r>
  </si>
  <si>
    <t>- Kassenbuch: danach in Abhängigkeit der Kategorie, über ein Active-X-Steuerelement (Dropdown) die Sachkonten angezeigt und ausgewählt.</t>
  </si>
  <si>
    <t>- Kassenbuch: Die Auswahl des Sachkonto wird pro Zeile in der Spalte R hinterlegt und daraufhin über SVERWEIS aus dem Register SaKo ausgelesen.</t>
  </si>
  <si>
    <t>Bezeichnung - Buchungsblatt</t>
  </si>
  <si>
    <t>Bezeichnung - Dropdown für Anwender</t>
  </si>
  <si>
    <t>Kategorie</t>
  </si>
  <si>
    <r>
      <t xml:space="preserve">- </t>
    </r>
    <r>
      <rPr>
        <b/>
        <i/>
        <sz val="10"/>
        <color rgb="FFC00000"/>
        <rFont val="Calibri"/>
        <family val="2"/>
        <scheme val="minor"/>
      </rPr>
      <t>Kassenbuch:</t>
    </r>
    <r>
      <rPr>
        <sz val="10"/>
        <rFont val="Calibri"/>
        <family val="2"/>
        <scheme val="minor"/>
      </rPr>
      <t xml:space="preserve"> Eingabe der 4stelligen Rechtsträgernummer (Daten werden aus dem Register "RT" über </t>
    </r>
    <r>
      <rPr>
        <i/>
        <sz val="10"/>
        <rFont val="Calibri"/>
        <family val="2"/>
        <scheme val="minor"/>
      </rPr>
      <t>SVERWEIS</t>
    </r>
    <r>
      <rPr>
        <sz val="10"/>
        <rFont val="Calibri"/>
        <family val="2"/>
        <scheme val="minor"/>
      </rPr>
      <t xml:space="preserve"> ausgelesen und an die Register 
                           "Barbestand", "Buchungsblatt Aufwand" und "Buchungsblatt Ertrag" übertragen.</t>
    </r>
  </si>
  <si>
    <t>Ausgezahlter Handvorschuss</t>
  </si>
  <si>
    <t>bis</t>
  </si>
  <si>
    <t>Name d. Kassenführung</t>
  </si>
  <si>
    <t>Barbestand der Handkasse</t>
  </si>
  <si>
    <t>Noch nicht abgerechnete Belege RV - Aufwand</t>
  </si>
  <si>
    <t>Noch nicht abgerechnete Belege RV - Ertrag</t>
  </si>
  <si>
    <r>
      <rPr>
        <b/>
        <i/>
        <sz val="10"/>
        <color rgb="FFC00000"/>
        <rFont val="Calibri"/>
        <family val="2"/>
        <scheme val="minor"/>
      </rPr>
      <t>Kontrolle der Bestände nach Abrechnung</t>
    </r>
    <r>
      <rPr>
        <b/>
        <sz val="10"/>
        <rFont val="Calibri"/>
        <family val="2"/>
        <scheme val="minor"/>
      </rPr>
      <t xml:space="preserve">
</t>
    </r>
    <r>
      <rPr>
        <sz val="10"/>
        <rFont val="Calibri"/>
        <family val="2"/>
        <scheme val="minor"/>
      </rPr>
      <t xml:space="preserve">Bankbestand lt. Kontoauszug
</t>
    </r>
    <r>
      <rPr>
        <b/>
        <sz val="11"/>
        <color rgb="FF00B050"/>
        <rFont val="Calibri"/>
        <family val="2"/>
        <scheme val="minor"/>
      </rPr>
      <t>+</t>
    </r>
    <r>
      <rPr>
        <b/>
        <sz val="10"/>
        <color rgb="FF00B050"/>
        <rFont val="Calibri"/>
        <family val="2"/>
        <scheme val="minor"/>
      </rPr>
      <t xml:space="preserve"> </t>
    </r>
    <r>
      <rPr>
        <sz val="10"/>
        <rFont val="Calibri"/>
        <family val="2"/>
        <scheme val="minor"/>
      </rPr>
      <t xml:space="preserve">Barbestand der Handkasse
</t>
    </r>
    <r>
      <rPr>
        <b/>
        <sz val="11"/>
        <color rgb="FF00B050"/>
        <rFont val="Calibri"/>
        <family val="2"/>
        <scheme val="minor"/>
      </rPr>
      <t>+</t>
    </r>
    <r>
      <rPr>
        <sz val="10"/>
        <rFont val="Calibri"/>
        <family val="2"/>
        <scheme val="minor"/>
      </rPr>
      <t xml:space="preserve"> noch nicht abgerechnete Belege RV - Aufwand
</t>
    </r>
    <r>
      <rPr>
        <b/>
        <sz val="11"/>
        <color rgb="FFC00000"/>
        <rFont val="Calibri"/>
        <family val="2"/>
        <scheme val="minor"/>
      </rPr>
      <t>-</t>
    </r>
    <r>
      <rPr>
        <b/>
        <sz val="10"/>
        <color rgb="FFC00000"/>
        <rFont val="Calibri"/>
        <family val="2"/>
        <scheme val="minor"/>
      </rPr>
      <t xml:space="preserve"> </t>
    </r>
    <r>
      <rPr>
        <sz val="10"/>
        <rFont val="Calibri"/>
        <family val="2"/>
        <scheme val="minor"/>
      </rPr>
      <t xml:space="preserve">noch nicht abgerechnete Belege RV - Ertrag
</t>
    </r>
    <r>
      <rPr>
        <b/>
        <sz val="11"/>
        <color rgb="FF00B050"/>
        <rFont val="Calibri"/>
        <family val="2"/>
        <scheme val="minor"/>
      </rPr>
      <t>+</t>
    </r>
    <r>
      <rPr>
        <sz val="10"/>
        <rFont val="Calibri"/>
        <family val="2"/>
        <scheme val="minor"/>
      </rPr>
      <t xml:space="preserve"> / </t>
    </r>
    <r>
      <rPr>
        <b/>
        <sz val="11"/>
        <color rgb="FFC00000"/>
        <rFont val="Calibri"/>
        <family val="2"/>
        <scheme val="minor"/>
      </rPr>
      <t xml:space="preserve">- </t>
    </r>
    <r>
      <rPr>
        <sz val="10"/>
        <rFont val="Calibri"/>
        <family val="2"/>
        <scheme val="minor"/>
      </rPr>
      <t>Saldo aus dieser Abrechnung 
= muss Vorschusssumme ergeben!</t>
    </r>
  </si>
  <si>
    <t>Belegtext (Sachkonto)</t>
  </si>
  <si>
    <t>Auswahl des Belegtextes mit Beispielen</t>
  </si>
  <si>
    <t>Aufwand = 1
Ertrag = 2</t>
  </si>
  <si>
    <t>- Kassenbuch: Die Einzelbelege werden über ein Active-X-Steuerelement (Dropdown) in die Kategorie Aufwand=1 oder Ertrag=2 unterteilt und</t>
  </si>
  <si>
    <t>Wird als Gruppe "Aufwand" ausgewählt, der Betrag ist aber bereits im Feld "Ertrag" eingetragen worden, wird das Ertragsfeld in Rot und durchgestrichen dargestellt (=bedingte Formatierung). Wird zuerst die Gruppe "Aufwand" ausgewählt ist eine Eingabe im Feld "Ertrag" nicht mehr möglich (=Daten/Datenüberprüfung). Dies gilt für das Feld "Aufwand" in gleicher Weise. (Änderungen des Textes zur Fehlermeldung können über die Funktion "Reihe berechnen" auf alle folgenden Zellen übertragen werden.)</t>
  </si>
  <si>
    <t>Datenüberprüfung für die folgenden Bereiche (B36:B68 und E36:E68) wenn die max. Anzahl von Zeilen in den Buchungsblättern Aufwand oder Ertrag erreicht ist, wird keine Eingabe mehr zugelassen und ein entsprechender Hinweistext eingeblendet.</t>
  </si>
  <si>
    <t xml:space="preserve">    Geschenke &gt; 35 €</t>
  </si>
  <si>
    <t xml:space="preserve">    Geschenke &lt; 35 €</t>
  </si>
  <si>
    <t xml:space="preserve">    Instandh. Grundstücke und Außenanlagen</t>
  </si>
  <si>
    <t xml:space="preserve">    Sonst. Aufwend. für Aus- und Fortbildung</t>
  </si>
  <si>
    <t xml:space="preserve">    Sonstige Verwaltungs- u. Betriebsaufw.</t>
  </si>
  <si>
    <t xml:space="preserve">    Verbrauchsmaterial im kirchl. Bereich</t>
  </si>
  <si>
    <t>Spalte E und F werden abhänig von der Kategorie Aufwand oder Ertrag das AbrObj und Sachkonto zu einer Zahl zusammengeführt</t>
  </si>
  <si>
    <t>Spalte T gibt das erste Zeichen des AbrObj wieder; bei Wert =0, wird dieses Zeichen im Buchungsblatt (Aufwand oder Ertrag) dem AbrObj als 1. Zeichen wieder hinzugefügt.</t>
  </si>
  <si>
    <t>- Datum / geprüft -</t>
  </si>
  <si>
    <t>- Datum / angeordnet -</t>
  </si>
  <si>
    <t>Änderung in den Registern Buchungsblatt Aufwand und Ertrag: "geprüft" in "Datum / geprüft"</t>
  </si>
  <si>
    <t>Änderung in den Registern Buchungsblatt Aufwand und Ertrag: "angeordnet" in "Datum / angeordnet"</t>
  </si>
  <si>
    <t>Fußzeile: Version 3.0 - Dezember 2017</t>
  </si>
  <si>
    <t>Spalte U (Aufwand) / Spalte T (Ertrag) gibt den Betrag der Buchungszeile wieder, die im Buchungsblatt (Aufwand oder Ertrag) bei identischem AbrObj und Sachkonto, im nächsten Schritt evtl. summiert wird.</t>
  </si>
  <si>
    <t>Datenüberprüfung für den Bereich E33:E68 - wenn in einem der Buchungsblätter Aufwand oder Ertrag nur noch drei Leerzeilen für Buchungen zur Verfügung steht, wird ein entsprechender Hinweistext zur Information eingeblendet. Die Eingabe der Buchung ist aber weiter möglich.</t>
  </si>
  <si>
    <t>Änderung der Formel für die Bestandsermittlung in Zelle I20: Zur Berechnung des Bestandes wird der Ausgezahlte Handvorschuss (Zelle I15) verwendet</t>
  </si>
  <si>
    <t>Ev. KGM Eifa</t>
  </si>
  <si>
    <t>Ev. KGM Münster</t>
  </si>
  <si>
    <t>HK-Nr. und RT-Nr.
für Handkasse</t>
  </si>
  <si>
    <t>Ev. RVV Oberhessen</t>
  </si>
  <si>
    <t>Ev. KGM Beltershain</t>
  </si>
  <si>
    <t>900092802</t>
  </si>
  <si>
    <t>Ev. KGM Ettingshausen</t>
  </si>
  <si>
    <t>900092803</t>
  </si>
  <si>
    <t>Ev. KGM Flensungen</t>
  </si>
  <si>
    <t>900092804</t>
  </si>
  <si>
    <t>Ev. KGM Freienseen</t>
  </si>
  <si>
    <t>900092805</t>
  </si>
  <si>
    <t>Ev. KGM Geilshausen</t>
  </si>
  <si>
    <t>900092806</t>
  </si>
  <si>
    <t>Ev. KGM Groß-Eichen</t>
  </si>
  <si>
    <t>900092807</t>
  </si>
  <si>
    <t>Ev. KGM Grünberg</t>
  </si>
  <si>
    <t>900092808</t>
  </si>
  <si>
    <t>Ev. KGM Harbach</t>
  </si>
  <si>
    <t>900092809</t>
  </si>
  <si>
    <t>Ev. KGM Hattenrod</t>
  </si>
  <si>
    <t>900092810</t>
  </si>
  <si>
    <t>Ev. KGM Lardenbach</t>
  </si>
  <si>
    <t>900092811</t>
  </si>
  <si>
    <t>Ev. KGM Laubach</t>
  </si>
  <si>
    <t>900092812</t>
  </si>
  <si>
    <t>Ev. KGM Lauter</t>
  </si>
  <si>
    <t>900092813</t>
  </si>
  <si>
    <t>Ev. KGM Londorf</t>
  </si>
  <si>
    <t>900092814</t>
  </si>
  <si>
    <t>Ev. KGM Lumda</t>
  </si>
  <si>
    <t>900092815</t>
  </si>
  <si>
    <t>Ev. KGM Merlau</t>
  </si>
  <si>
    <t>900092816</t>
  </si>
  <si>
    <t>900092817</t>
  </si>
  <si>
    <t>Ev. KGM Ober-Bessingen</t>
  </si>
  <si>
    <t>900092818</t>
  </si>
  <si>
    <t>Ev. KGM Ober-Ohmen</t>
  </si>
  <si>
    <t>900092819</t>
  </si>
  <si>
    <t>Ev. KGM Odenhausen</t>
  </si>
  <si>
    <t>900092820</t>
  </si>
  <si>
    <t>Ev. Kirchspiel Odenhausen</t>
  </si>
  <si>
    <t>900092821</t>
  </si>
  <si>
    <t>Ev. KGM Queckborn</t>
  </si>
  <si>
    <t>900092822</t>
  </si>
  <si>
    <t>Ev. KGM Röthges</t>
  </si>
  <si>
    <t>900092823</t>
  </si>
  <si>
    <t>Ev. KGM Ruppertsburg</t>
  </si>
  <si>
    <t>900092824</t>
  </si>
  <si>
    <t>Ev. KGM Rüddingshausen</t>
  </si>
  <si>
    <t>900092825</t>
  </si>
  <si>
    <t>Ev. KGM Sellnrod</t>
  </si>
  <si>
    <t>900092826</t>
  </si>
  <si>
    <t>Ev. KGM Stangenrod-Lehnheim</t>
  </si>
  <si>
    <t>900092827</t>
  </si>
  <si>
    <t>Ev. KGM Weickartshain</t>
  </si>
  <si>
    <t>900092828</t>
  </si>
  <si>
    <t>Ev. KGM Weitershain</t>
  </si>
  <si>
    <t>900092829</t>
  </si>
  <si>
    <t>Ev. KGM Wetterfeld</t>
  </si>
  <si>
    <t>900092830</t>
  </si>
  <si>
    <t>Ev. KGM Wirberg</t>
  </si>
  <si>
    <t>900092831</t>
  </si>
  <si>
    <t>Ev. KGM Ilsdorf</t>
  </si>
  <si>
    <t>900092832</t>
  </si>
  <si>
    <t>Ev. KGM Stockhausen</t>
  </si>
  <si>
    <t>900092833</t>
  </si>
  <si>
    <t>Ev. KGM Ruppertenrod</t>
  </si>
  <si>
    <t>900092834</t>
  </si>
  <si>
    <t>Ev. KGM Unter-Seibertenrod</t>
  </si>
  <si>
    <t>900092835</t>
  </si>
  <si>
    <t>Ev. KGM Gonterskirchen</t>
  </si>
  <si>
    <t>900092836</t>
  </si>
  <si>
    <t>Ev. Dekanat Grünberg</t>
  </si>
  <si>
    <t>900092898</t>
  </si>
  <si>
    <t>Ev. KGM Bellersheim</t>
  </si>
  <si>
    <t>900093202</t>
  </si>
  <si>
    <t>Ev. KGM Bettenhausen</t>
  </si>
  <si>
    <t>900093204</t>
  </si>
  <si>
    <t>Ev. KGM Birklar</t>
  </si>
  <si>
    <t>900093205</t>
  </si>
  <si>
    <t>Ev. KGM Dorf-Güll</t>
  </si>
  <si>
    <t>900093206</t>
  </si>
  <si>
    <t>Ev. KGM Eberstadt /Kloster Arnsbg.</t>
  </si>
  <si>
    <t>900093207</t>
  </si>
  <si>
    <t>Ev. KGM Grüningen</t>
  </si>
  <si>
    <t>900093208</t>
  </si>
  <si>
    <t>Ev. KGM Holzheim</t>
  </si>
  <si>
    <t>900093209</t>
  </si>
  <si>
    <t>Ev. KGM Hungen</t>
  </si>
  <si>
    <t>900093210</t>
  </si>
  <si>
    <t>Ev. KGM Langd</t>
  </si>
  <si>
    <t>900093211</t>
  </si>
  <si>
    <t>Ev. KGM Langsdorf</t>
  </si>
  <si>
    <t>900093212</t>
  </si>
  <si>
    <t>Ev. Marienstiftsgemeinde Lich</t>
  </si>
  <si>
    <t>900093213</t>
  </si>
  <si>
    <t>Ev. KGM Muschenheim</t>
  </si>
  <si>
    <t>900093215</t>
  </si>
  <si>
    <t>Ev. KGM Nieder-Bessingen</t>
  </si>
  <si>
    <t>900093216</t>
  </si>
  <si>
    <t>Ev. KGM Nonnenroth</t>
  </si>
  <si>
    <t>900093217</t>
  </si>
  <si>
    <t>Ev. KGM Obbornhofen</t>
  </si>
  <si>
    <t>900093218</t>
  </si>
  <si>
    <t>Ev. KGM Rodheim-Horloff</t>
  </si>
  <si>
    <t>900093219</t>
  </si>
  <si>
    <t>Ev. KGM Trais-Horloff</t>
  </si>
  <si>
    <t>900093220</t>
  </si>
  <si>
    <t>Ev. KGM Villingen</t>
  </si>
  <si>
    <t>900093222</t>
  </si>
  <si>
    <t>Ev. KGM Wohnbach</t>
  </si>
  <si>
    <t>900093224</t>
  </si>
  <si>
    <t>Ev. Dekanat Hungen</t>
  </si>
  <si>
    <t>900093298</t>
  </si>
  <si>
    <t>Ev. KGM Allendorf a. d. Lumda</t>
  </si>
  <si>
    <t>900093502</t>
  </si>
  <si>
    <t>Ev. KGM Alten-Buseck</t>
  </si>
  <si>
    <t>900093503</t>
  </si>
  <si>
    <t>Ev. KGM Annerod</t>
  </si>
  <si>
    <t>900093504</t>
  </si>
  <si>
    <t>Ev. KGM Beuern</t>
  </si>
  <si>
    <t>900093505</t>
  </si>
  <si>
    <t>Ev. KGM Burkhardsfelden</t>
  </si>
  <si>
    <t>900093506</t>
  </si>
  <si>
    <t>Ev. KGM Großen-Buseck</t>
  </si>
  <si>
    <t>900093508</t>
  </si>
  <si>
    <t>Ev. KGM Kirchberg</t>
  </si>
  <si>
    <t>900093509</t>
  </si>
  <si>
    <t>Ev. KGM Lindenstruth</t>
  </si>
  <si>
    <t>900093510</t>
  </si>
  <si>
    <t>Ev. KGM Lollar</t>
  </si>
  <si>
    <t>900093511</t>
  </si>
  <si>
    <t>900093512</t>
  </si>
  <si>
    <t>Ev. KGM Reiskirchen</t>
  </si>
  <si>
    <t>900093513</t>
  </si>
  <si>
    <t>Ev. KGM Rödgen</t>
  </si>
  <si>
    <t>900093514</t>
  </si>
  <si>
    <t>Ev. KGM Treis a. d. Lumda</t>
  </si>
  <si>
    <t>900093515</t>
  </si>
  <si>
    <t>Ev. KGM Veitsberg-Saasen</t>
  </si>
  <si>
    <t>900093516</t>
  </si>
  <si>
    <t>Ev. KGM Winnerod-Bersrod</t>
  </si>
  <si>
    <t>900093517</t>
  </si>
  <si>
    <t>Ev. KGM Ruttershausen</t>
  </si>
  <si>
    <t>900093518</t>
  </si>
  <si>
    <t>Ev. Dekanat Kirchberg</t>
  </si>
  <si>
    <t>900093598</t>
  </si>
  <si>
    <t>Ev. KGM Allmenrod</t>
  </si>
  <si>
    <t>900096202</t>
  </si>
  <si>
    <t>Ev. KGM Altenschlirf</t>
  </si>
  <si>
    <t>900096203</t>
  </si>
  <si>
    <t>Ev. KGM Angersbach</t>
  </si>
  <si>
    <t>900096204</t>
  </si>
  <si>
    <t>Ev. KGM Blitzenrod</t>
  </si>
  <si>
    <t>900096205</t>
  </si>
  <si>
    <t>Ev. KGM Crainfeld</t>
  </si>
  <si>
    <t>900096206</t>
  </si>
  <si>
    <t>Ev. KGM Dirlammen</t>
  </si>
  <si>
    <t>900096207</t>
  </si>
  <si>
    <t>Ev. KGM Engelrod</t>
  </si>
  <si>
    <t>900096208</t>
  </si>
  <si>
    <t>Ev. KGM Fraurombach</t>
  </si>
  <si>
    <t>900096209</t>
  </si>
  <si>
    <t>Ev. KGM Freiensteinau</t>
  </si>
  <si>
    <t>900096210</t>
  </si>
  <si>
    <t>Ev. KGM Frischborn</t>
  </si>
  <si>
    <t>900096211</t>
  </si>
  <si>
    <t>Ev. KGM Hartershausen</t>
  </si>
  <si>
    <t>900096213</t>
  </si>
  <si>
    <t>Ev. KGM Heblos</t>
  </si>
  <si>
    <t>900096214</t>
  </si>
  <si>
    <t>Ev. KGM Herbstein</t>
  </si>
  <si>
    <t>900096216</t>
  </si>
  <si>
    <t>Ev. KGM Herchenhain</t>
  </si>
  <si>
    <t>900096217</t>
  </si>
  <si>
    <t>Ev. KGM Hopfmannsfeld</t>
  </si>
  <si>
    <t>900096218</t>
  </si>
  <si>
    <t>Ev. KGM Hutzdorf</t>
  </si>
  <si>
    <t>900096219</t>
  </si>
  <si>
    <t>Ev. KGM Ilbeshausen</t>
  </si>
  <si>
    <t>900096220</t>
  </si>
  <si>
    <t>Ev. KGM Kreutzersgrund</t>
  </si>
  <si>
    <t>900096221</t>
  </si>
  <si>
    <t>Ev. KGM Landenhausen</t>
  </si>
  <si>
    <t>900096222</t>
  </si>
  <si>
    <t>Ev. KGM Lanzenhain</t>
  </si>
  <si>
    <t>900096223</t>
  </si>
  <si>
    <t>Ev. KGM Lauterbach</t>
  </si>
  <si>
    <t>900096224</t>
  </si>
  <si>
    <t>Ev. KGM Maar</t>
  </si>
  <si>
    <t>900096225</t>
  </si>
  <si>
    <t>Ev. KGM Meiches</t>
  </si>
  <si>
    <t>900096226</t>
  </si>
  <si>
    <t>Ev. KGM Nieder-Moos</t>
  </si>
  <si>
    <t>900096227</t>
  </si>
  <si>
    <t>Ev. KGM Ober-Wegfurth</t>
  </si>
  <si>
    <t>900096228</t>
  </si>
  <si>
    <t>Ev. KGM Queck</t>
  </si>
  <si>
    <t>900096229</t>
  </si>
  <si>
    <t>Ev. KGM Rimbach</t>
  </si>
  <si>
    <t>900096230</t>
  </si>
  <si>
    <t>Ev. KGM Rixfeld</t>
  </si>
  <si>
    <t>900096231</t>
  </si>
  <si>
    <t>Ev. KGM Rudlos</t>
  </si>
  <si>
    <t>900096232</t>
  </si>
  <si>
    <t>Ev. KGM Sandlofs</t>
  </si>
  <si>
    <t>900096233</t>
  </si>
  <si>
    <t>Ev. KGM Schlechtenwegen</t>
  </si>
  <si>
    <t>900096234</t>
  </si>
  <si>
    <t>Ev. KGM Schlitz</t>
  </si>
  <si>
    <t>900096235</t>
  </si>
  <si>
    <t>900096236</t>
  </si>
  <si>
    <t>Ev. KGM Wallenrod</t>
  </si>
  <si>
    <t>900096237</t>
  </si>
  <si>
    <t>Ev. KGM Wernges</t>
  </si>
  <si>
    <t>900096238</t>
  </si>
  <si>
    <t>Ev. KGM Willofs</t>
  </si>
  <si>
    <t>900096239</t>
  </si>
  <si>
    <t>Ev. Dekanat Vogelsberg</t>
  </si>
  <si>
    <t>900096298</t>
  </si>
  <si>
    <t>Ev. KGM Albach</t>
  </si>
  <si>
    <t>900096602</t>
  </si>
  <si>
    <t>Ev. KGM Großen-Linden</t>
  </si>
  <si>
    <t>900096603</t>
  </si>
  <si>
    <t>Ev. KGM Kinzenbach</t>
  </si>
  <si>
    <t>900096604</t>
  </si>
  <si>
    <t>Ev. KGM Langgöns</t>
  </si>
  <si>
    <t>900096605</t>
  </si>
  <si>
    <t>Ev. KGM Leihgestern</t>
  </si>
  <si>
    <t>900096606</t>
  </si>
  <si>
    <t>Ev. KGM Steinbach</t>
  </si>
  <si>
    <t>900096607</t>
  </si>
  <si>
    <t>Ev. KGM Watzenborn-Steinberg</t>
  </si>
  <si>
    <t>900096608</t>
  </si>
  <si>
    <t>Ev. Michaelsgemeinde Gießen-Wieseck</t>
  </si>
  <si>
    <t>900096609</t>
  </si>
  <si>
    <t>Ev. Andreasgemeinde Gießen</t>
  </si>
  <si>
    <t>900096610</t>
  </si>
  <si>
    <t>Ev. Johannesgemeinde Gießen</t>
  </si>
  <si>
    <t>900096611</t>
  </si>
  <si>
    <t>Ev. KGM Allendorf/Lahn</t>
  </si>
  <si>
    <t>900096612</t>
  </si>
  <si>
    <t>Ev. KGM Garbenteich</t>
  </si>
  <si>
    <t>900096613</t>
  </si>
  <si>
    <t>Ev. KGM Hausen</t>
  </si>
  <si>
    <t>900096614</t>
  </si>
  <si>
    <t>Ev. KGM Kleinlinden</t>
  </si>
  <si>
    <t>900096615</t>
  </si>
  <si>
    <t>Ev. Lukasgemeinde Gießen</t>
  </si>
  <si>
    <t>900096616</t>
  </si>
  <si>
    <t>Ev. Luthergemeinde Gießen</t>
  </si>
  <si>
    <t>900096617</t>
  </si>
  <si>
    <t>Ev. Martinsgem. Heuchelheim</t>
  </si>
  <si>
    <t>900096619</t>
  </si>
  <si>
    <t>Ev. Paulusgemeinde Gießen</t>
  </si>
  <si>
    <t>900096622</t>
  </si>
  <si>
    <t>Ev. Petrusgemeinde Gießen</t>
  </si>
  <si>
    <t>900096623</t>
  </si>
  <si>
    <t>Ev. Stephanusgemeinde Gießen</t>
  </si>
  <si>
    <t>900096624</t>
  </si>
  <si>
    <t>Ev. Thomasgemeinde Gießen</t>
  </si>
  <si>
    <t>900096625</t>
  </si>
  <si>
    <t>Ev. Wicherngemeinde Gießen</t>
  </si>
  <si>
    <t>900096626</t>
  </si>
  <si>
    <t>Ev. Pankratiusgemeinde Gießen</t>
  </si>
  <si>
    <t>900096627</t>
  </si>
  <si>
    <t>Ev. KGM Fellingshausen</t>
  </si>
  <si>
    <t>900096630</t>
  </si>
  <si>
    <t>Ev. KGM Königsberg</t>
  </si>
  <si>
    <t>900096631</t>
  </si>
  <si>
    <t>Ev. KGM Frankenbach</t>
  </si>
  <si>
    <t>900096632</t>
  </si>
  <si>
    <t>Ev. KGM Krumbach</t>
  </si>
  <si>
    <t>900096633</t>
  </si>
  <si>
    <t>Ev. KGM Rodheim-Vetzberg</t>
  </si>
  <si>
    <t>900096634</t>
  </si>
  <si>
    <t>Ev. KGM Bieber</t>
  </si>
  <si>
    <t>900096635</t>
  </si>
  <si>
    <t>Ev. Gemeindeverband Gießen</t>
  </si>
  <si>
    <t>Oekum. Telefonseelsorge</t>
  </si>
  <si>
    <t>900096670</t>
  </si>
  <si>
    <t>Oberhessischer Kirchentag</t>
  </si>
  <si>
    <t>Oberhessischer Austauschfonds</t>
  </si>
  <si>
    <t>Ev. Dekanat Gießen</t>
  </si>
  <si>
    <t>900096698</t>
  </si>
  <si>
    <t>Ev. KGM Alsfeld</t>
  </si>
  <si>
    <t>900096702</t>
  </si>
  <si>
    <t>Ev. KGM Altenburg</t>
  </si>
  <si>
    <t>900096703</t>
  </si>
  <si>
    <t>Ev. KGM Appenrod</t>
  </si>
  <si>
    <t>900096704</t>
  </si>
  <si>
    <t>Ev. KGM Arnshain</t>
  </si>
  <si>
    <t>900096705</t>
  </si>
  <si>
    <t>Ev. KGM Bernsburg</t>
  </si>
  <si>
    <t>900096707</t>
  </si>
  <si>
    <t>Ev. KGM Bernsfeld</t>
  </si>
  <si>
    <t>900096708</t>
  </si>
  <si>
    <t>Ev. KGM Billertshausen</t>
  </si>
  <si>
    <t>900096709</t>
  </si>
  <si>
    <t>Ev. KGM Brauerschwend</t>
  </si>
  <si>
    <t>900096711</t>
  </si>
  <si>
    <t>Ev. KGM Deckenbach-Höingen</t>
  </si>
  <si>
    <t>900096715</t>
  </si>
  <si>
    <t>900096716</t>
  </si>
  <si>
    <t>Ev. Michaelisgem.Ehringshausen</t>
  </si>
  <si>
    <t>900096717</t>
  </si>
  <si>
    <t>Ev. KGM Elbenrod</t>
  </si>
  <si>
    <t>900096718</t>
  </si>
  <si>
    <t>Ev. KGM Erbenhausen</t>
  </si>
  <si>
    <t>900096720</t>
  </si>
  <si>
    <t>Ev. Martin-Luther-Gem Ermenrod</t>
  </si>
  <si>
    <t>900096721</t>
  </si>
  <si>
    <t>Ev. KGM Eudorf</t>
  </si>
  <si>
    <t>900096722</t>
  </si>
  <si>
    <t>Ev. KGM Grebenau</t>
  </si>
  <si>
    <t>900096723</t>
  </si>
  <si>
    <t>Ev. KGM Groß-Felda</t>
  </si>
  <si>
    <t>900096724</t>
  </si>
  <si>
    <t>Ev. KGM Haarhausen</t>
  </si>
  <si>
    <t>900096725</t>
  </si>
  <si>
    <t>Ev. KGM Heidelbach</t>
  </si>
  <si>
    <t>900096727</t>
  </si>
  <si>
    <t>Ev. KGM Helpershain</t>
  </si>
  <si>
    <t>900096728</t>
  </si>
  <si>
    <t>Ev. KGM Homberg</t>
  </si>
  <si>
    <t>900096729</t>
  </si>
  <si>
    <t>Ev. KGM Hopfgarten</t>
  </si>
  <si>
    <t>900096730</t>
  </si>
  <si>
    <t>Ev. KGM Kestrich</t>
  </si>
  <si>
    <t>900096731</t>
  </si>
  <si>
    <t>Ev. KGM Kirtorf</t>
  </si>
  <si>
    <t>900096732</t>
  </si>
  <si>
    <t>Ev. KGM Köddingen</t>
  </si>
  <si>
    <t>900096733</t>
  </si>
  <si>
    <t>Ev. KGM Lehrbach</t>
  </si>
  <si>
    <t>900096734</t>
  </si>
  <si>
    <t>Ev. KGM Leusel</t>
  </si>
  <si>
    <t>900096735</t>
  </si>
  <si>
    <t>Ev. KGM Maulbach</t>
  </si>
  <si>
    <t>900096736</t>
  </si>
  <si>
    <t>Ev. KGM Katharinengemeinde Gemünden</t>
  </si>
  <si>
    <t>900096737</t>
  </si>
  <si>
    <t>Ev. KGM Nieder-Ofleiden</t>
  </si>
  <si>
    <t>900096738</t>
  </si>
  <si>
    <t>Ev. KGM Nieder-Ohmen</t>
  </si>
  <si>
    <t>900096739</t>
  </si>
  <si>
    <t>Ev. KGM Ober-Breidenbach</t>
  </si>
  <si>
    <t>900096740</t>
  </si>
  <si>
    <t>Ev. KGM Ober-Gleen</t>
  </si>
  <si>
    <t>900096741</t>
  </si>
  <si>
    <t>Ev. KGM Ober-Ofleiden-Gontersh</t>
  </si>
  <si>
    <t>900096742</t>
  </si>
  <si>
    <t>Ev. KGM Oberrod</t>
  </si>
  <si>
    <t>900096743</t>
  </si>
  <si>
    <t>Ev. KGM Romrod</t>
  </si>
  <si>
    <t>900096744</t>
  </si>
  <si>
    <t>Ev. Martinsgemeinde Rülfenrod</t>
  </si>
  <si>
    <t>900096745</t>
  </si>
  <si>
    <t>Ev. KGM Schwabenrod</t>
  </si>
  <si>
    <t>900096747</t>
  </si>
  <si>
    <t>Ev. KGM Schwarz</t>
  </si>
  <si>
    <t>900096748</t>
  </si>
  <si>
    <t>Ev. KGM Storndorf</t>
  </si>
  <si>
    <t>900096749</t>
  </si>
  <si>
    <t>Ev. KGM Stumpertenrod</t>
  </si>
  <si>
    <t>900096750</t>
  </si>
  <si>
    <t>Ev. KGM Udenhausen</t>
  </si>
  <si>
    <t>900096751</t>
  </si>
  <si>
    <t>Ev. KGM Wahlen</t>
  </si>
  <si>
    <t>900096752</t>
  </si>
  <si>
    <t>Ev. KGM Windhausen</t>
  </si>
  <si>
    <t>900096754</t>
  </si>
  <si>
    <t>Ev. KGM Zell</t>
  </si>
  <si>
    <t>900096755</t>
  </si>
  <si>
    <t>Beratungszentrum Vogelsberg</t>
  </si>
  <si>
    <t>Ev. Dekanat Alsfeld</t>
  </si>
  <si>
    <t>900096798</t>
  </si>
  <si>
    <t>Stiftung Oberer Fuldagrund</t>
  </si>
  <si>
    <t>900099901</t>
  </si>
  <si>
    <t>Aaugust-Gluck-Stiftung Queck</t>
  </si>
  <si>
    <t>900099902</t>
  </si>
  <si>
    <t>Gemeindestiftung Schlitz</t>
  </si>
  <si>
    <t>900099903</t>
  </si>
  <si>
    <t>Diakoniestiftung Schlitz</t>
  </si>
  <si>
    <t>900099904</t>
  </si>
  <si>
    <t>Stiftung Hill Heidelbach</t>
  </si>
  <si>
    <t>900099905</t>
  </si>
  <si>
    <t>Stiftung mit den müden Reden</t>
  </si>
  <si>
    <t>900099906</t>
  </si>
  <si>
    <t>Elisabethenstiftung Laubach</t>
  </si>
  <si>
    <t>900099907</t>
  </si>
  <si>
    <t>Ottilienstiftung Hungen</t>
  </si>
  <si>
    <t>900099908</t>
  </si>
  <si>
    <t>Else Stein Stiftung Villingen</t>
  </si>
  <si>
    <t>900099909</t>
  </si>
  <si>
    <t>Stiftung KGM Garbenteich</t>
  </si>
  <si>
    <t>900099910</t>
  </si>
  <si>
    <t>KGV-Stiftung Gießen</t>
  </si>
  <si>
    <t>900099911</t>
  </si>
  <si>
    <t>Ev. Ev. Kita Sonnenstern Ober-Ohmen</t>
  </si>
  <si>
    <t>Ev. Kita Grassee Hungen</t>
  </si>
  <si>
    <t>Ev. Kita Prinz Wittgenstein Langd</t>
  </si>
  <si>
    <t>Ev. Kita Langsdorf</t>
  </si>
  <si>
    <t>Ev. Kita Burkhardsfelden</t>
  </si>
  <si>
    <t>Ev. Kita Angersbach</t>
  </si>
  <si>
    <t>Ev. Kita Spatzennest Landenhausen</t>
  </si>
  <si>
    <t>Ev. Kita Regenbogenland Engelrod</t>
  </si>
  <si>
    <t>Ev. Kita Lanzenhain</t>
  </si>
  <si>
    <t>Ev. Kita Lauterbach</t>
  </si>
  <si>
    <t>Ev. Kita Stockhausen</t>
  </si>
  <si>
    <t>Ev. Kita der Ev. Andreasgemeinde Gießen</t>
  </si>
  <si>
    <t>Kinder- &amp; Familienzentrum Rote Schule</t>
  </si>
  <si>
    <t>Ev. Kita "Ulner Dreieck" der Ev. Lukasgemeinde Gießen</t>
  </si>
  <si>
    <t>Ev. Kita Ludwigstr. der Ev. Lukasgemeinde Gießen</t>
  </si>
  <si>
    <t>Kinder- u. Fam. Zentrum Lutherberg</t>
  </si>
  <si>
    <t>Ev. Kita Am Kaiserberg Wieseck</t>
  </si>
  <si>
    <t>Ev. Kita Pusteblume Wieseck</t>
  </si>
  <si>
    <t>Krippe der Ev. Thomasgemeinde Gießen</t>
  </si>
  <si>
    <t>Ev. Kita der Ev. Paulusgemeinde Gießen</t>
  </si>
  <si>
    <t>Ev. Kita und Familienzentrum der Ev. Petrusgemeinde</t>
  </si>
  <si>
    <t>Ev. Kita der Ev. Stephanusgemeinde Gießen</t>
  </si>
  <si>
    <t>Kinder-u.Familienzentrum Westwind</t>
  </si>
  <si>
    <t>Ev. Kita Arche Langgöns</t>
  </si>
  <si>
    <t>Waldkindergarten Großen-Linden</t>
  </si>
  <si>
    <t>Ev. Kita Leihgestern</t>
  </si>
  <si>
    <t>Ev. Kita Bieber</t>
  </si>
  <si>
    <t>Ev. Kita "Zum Fuchsbau" Fellingshausen</t>
  </si>
  <si>
    <t>Ev. Kita Krumbach</t>
  </si>
  <si>
    <t>Ev. Kita Rodheim</t>
  </si>
  <si>
    <t>Ev. Kita Vetzberg</t>
  </si>
  <si>
    <t>Schulkindbetreuung Fellingshausen</t>
  </si>
  <si>
    <t>Schulkindbetreuung Ev. Kita Rodheim</t>
  </si>
  <si>
    <t>Ev. Kita Arche Noah Alsfeld</t>
  </si>
  <si>
    <t>Ev. Kita Krebsbach Alsfeld</t>
  </si>
  <si>
    <t>Ev. Kita Rodenberg Alsfeld</t>
  </si>
  <si>
    <t>Ev. Kita Eifa Altenburg</t>
  </si>
  <si>
    <t>Ev. Kita Groß Felda</t>
  </si>
  <si>
    <t>Ev. Kita Kirtorf</t>
  </si>
  <si>
    <t>Ev. Kita Maulbach</t>
  </si>
  <si>
    <t>Ev. Kita Romrod</t>
  </si>
  <si>
    <t>Ev. Kita Ober-Breidenbach Storndorf</t>
  </si>
  <si>
    <t>Oberhessen</t>
  </si>
  <si>
    <t>Ev. KGM Oppenrod</t>
  </si>
  <si>
    <t>Ev. Dekanat Laubach</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</si>
</sst>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8" formatCode="#,##0.00\ &quot;€&quot;;[Red]\-#,##0.00\ &quot;€&quot;"/>
    <numFmt numFmtId="44" formatCode="_-* #,##0.00\ &quot;€&quot;_-;\-* #,##0.00\ &quot;€&quot;_-;_-* &quot;-&quot;??\ &quot;€&quot;_-;_-@_-"/>
    <numFmt numFmtId="164" formatCode="0000"/>
    <numFmt numFmtId="165" formatCode="dd/mm/yy;@"/>
    <numFmt numFmtId="166" formatCode="#,##0.00\ [$€-407];[Red]\-#,##0.00\ [$€-407]"/>
    <numFmt numFmtId="167" formatCode="00"/>
    <numFmt numFmtId="168" formatCode="_-* #,##0.00\ [$€-407]_-;\-* #,##0.00\ [$€-407]_-;_-* &quot;-&quot;??\ [$€-407]_-;_-@_-"/>
    <numFmt numFmtId="169" formatCode="#,##0.00\ [$€-1];[Red]\-#,##0.00\ [$€-1]"/>
    <numFmt numFmtId="170" formatCode="[Red]\-#,##0.00\ &quot;€&quot;"/>
  </numFmts>
  <fonts count="57" x14ac:knownFonts="1">
    <font>
      <sz val="10"/>
      <name val="Arial"/>
      <family val="2"/>
    </font>
    <font>
      <sz val="11"/>
      <color theme="1"/>
      <name val="Calibri"/>
      <family val="2"/>
      <scheme val="minor"/>
    </font>
    <font>
      <sz val="11"/>
      <color theme="1"/>
      <name val="Calibri"/>
      <family val="2"/>
      <scheme val="minor"/>
    </font>
    <font>
      <b/>
      <sz val="10"/>
      <name val="Calibri"/>
      <family val="2"/>
      <scheme val="minor"/>
    </font>
    <font>
      <b/>
      <sz val="9"/>
      <name val="Calibri"/>
      <family val="2"/>
      <scheme val="minor"/>
    </font>
    <font>
      <b/>
      <sz val="11"/>
      <name val="Calibri"/>
      <family val="2"/>
      <scheme val="minor"/>
    </font>
    <font>
      <b/>
      <u/>
      <sz val="9"/>
      <name val="Calibri"/>
      <family val="2"/>
      <scheme val="minor"/>
    </font>
    <font>
      <b/>
      <i/>
      <sz val="20"/>
      <color theme="1" tint="0.249977111117893"/>
      <name val="Calibri"/>
      <family val="2"/>
      <scheme val="minor"/>
    </font>
    <font>
      <b/>
      <i/>
      <sz val="14"/>
      <color theme="1" tint="0.249977111117893"/>
      <name val="Calibri"/>
      <family val="2"/>
      <scheme val="minor"/>
    </font>
    <font>
      <b/>
      <sz val="11"/>
      <color theme="1" tint="0.249977111117893"/>
      <name val="Calibri"/>
      <family val="2"/>
      <scheme val="minor"/>
    </font>
    <font>
      <sz val="10"/>
      <name val="Calibri"/>
      <family val="2"/>
      <scheme val="minor"/>
    </font>
    <font>
      <b/>
      <i/>
      <sz val="9"/>
      <color theme="1" tint="0.249977111117893"/>
      <name val="Calibri"/>
      <family val="2"/>
      <scheme val="minor"/>
    </font>
    <font>
      <b/>
      <i/>
      <sz val="12"/>
      <color theme="1" tint="0.249977111117893"/>
      <name val="Calibri"/>
      <family val="2"/>
      <scheme val="minor"/>
    </font>
    <font>
      <sz val="10"/>
      <name val="Arial"/>
      <family val="2"/>
    </font>
    <font>
      <b/>
      <sz val="13"/>
      <name val="Calibri"/>
      <family val="2"/>
      <scheme val="minor"/>
    </font>
    <font>
      <b/>
      <sz val="9"/>
      <color indexed="81"/>
      <name val="Segoe UI"/>
      <family val="2"/>
    </font>
    <font>
      <sz val="9"/>
      <color indexed="81"/>
      <name val="Segoe UI"/>
      <family val="2"/>
    </font>
    <font>
      <sz val="10"/>
      <color theme="1"/>
      <name val="Calibri"/>
      <family val="2"/>
      <scheme val="minor"/>
    </font>
    <font>
      <b/>
      <sz val="22"/>
      <name val="Calibri"/>
      <family val="2"/>
      <scheme val="minor"/>
    </font>
    <font>
      <sz val="11"/>
      <name val="Calibri"/>
      <family val="2"/>
      <scheme val="minor"/>
    </font>
    <font>
      <sz val="14"/>
      <name val="Calibri"/>
      <family val="2"/>
      <scheme val="minor"/>
    </font>
    <font>
      <i/>
      <sz val="10"/>
      <name val="Calibri"/>
      <family val="2"/>
      <scheme val="minor"/>
    </font>
    <font>
      <b/>
      <i/>
      <sz val="15"/>
      <color theme="1" tint="0.249977111117893"/>
      <name val="Calibri"/>
      <family val="2"/>
      <scheme val="minor"/>
    </font>
    <font>
      <sz val="10"/>
      <color rgb="FFFF0000"/>
      <name val="Calibri"/>
      <family val="2"/>
      <scheme val="minor"/>
    </font>
    <font>
      <b/>
      <sz val="10"/>
      <color rgb="FFFF0000"/>
      <name val="Calibri"/>
      <family val="2"/>
      <scheme val="minor"/>
    </font>
    <font>
      <sz val="10"/>
      <name val="MS Sans Serif"/>
      <family val="2"/>
    </font>
    <font>
      <i/>
      <sz val="10"/>
      <color rgb="FFFF0000"/>
      <name val="Calibri"/>
      <family val="2"/>
      <scheme val="minor"/>
    </font>
    <font>
      <sz val="9"/>
      <name val="Arial"/>
      <family val="2"/>
    </font>
    <font>
      <b/>
      <u/>
      <sz val="10"/>
      <color indexed="10"/>
      <name val="Calibri"/>
      <family val="2"/>
      <scheme val="minor"/>
    </font>
    <font>
      <b/>
      <u/>
      <sz val="12"/>
      <color indexed="10"/>
      <name val="Calibri"/>
      <family val="2"/>
      <scheme val="minor"/>
    </font>
    <font>
      <b/>
      <sz val="10"/>
      <color indexed="10"/>
      <name val="Calibri"/>
      <family val="2"/>
      <scheme val="minor"/>
    </font>
    <font>
      <b/>
      <sz val="12"/>
      <name val="Calibri"/>
      <family val="2"/>
      <scheme val="minor"/>
    </font>
    <font>
      <sz val="9"/>
      <name val="Calibri"/>
      <family val="2"/>
      <scheme val="minor"/>
    </font>
    <font>
      <b/>
      <sz val="9"/>
      <color theme="1" tint="0.249977111117893"/>
      <name val="Calibri"/>
      <family val="2"/>
      <scheme val="minor"/>
    </font>
    <font>
      <b/>
      <i/>
      <sz val="11"/>
      <color rgb="FFC00000"/>
      <name val="Calibri"/>
      <family val="2"/>
      <scheme val="minor"/>
    </font>
    <font>
      <b/>
      <i/>
      <sz val="10"/>
      <color rgb="FFC00000"/>
      <name val="Calibri"/>
      <family val="2"/>
      <scheme val="minor"/>
    </font>
    <font>
      <b/>
      <sz val="10"/>
      <color rgb="FFC00000"/>
      <name val="Calibri"/>
      <family val="2"/>
      <scheme val="minor"/>
    </font>
    <font>
      <b/>
      <sz val="11"/>
      <color theme="1"/>
      <name val="Calibri"/>
      <family val="2"/>
      <scheme val="minor"/>
    </font>
    <font>
      <b/>
      <sz val="14"/>
      <color theme="1"/>
      <name val="Calibri"/>
      <family val="2"/>
      <scheme val="minor"/>
    </font>
    <font>
      <b/>
      <sz val="11"/>
      <color rgb="FF7030A0"/>
      <name val="Calibri"/>
      <family val="2"/>
      <scheme val="minor"/>
    </font>
    <font>
      <i/>
      <sz val="8"/>
      <color theme="1"/>
      <name val="Calibri"/>
      <family val="2"/>
      <scheme val="minor"/>
    </font>
    <font>
      <b/>
      <sz val="20"/>
      <name val="OCR A Extended"/>
      <family val="3"/>
    </font>
    <font>
      <b/>
      <sz val="18"/>
      <name val="OCR A Extended"/>
      <family val="3"/>
    </font>
    <font>
      <b/>
      <i/>
      <sz val="20"/>
      <name val="Calibri"/>
      <family val="2"/>
      <scheme val="minor"/>
    </font>
    <font>
      <b/>
      <i/>
      <sz val="9"/>
      <name val="Calibri"/>
      <family val="2"/>
      <scheme val="minor"/>
    </font>
    <font>
      <b/>
      <sz val="13"/>
      <color theme="1"/>
      <name val="Calibri"/>
      <family val="2"/>
      <scheme val="minor"/>
    </font>
    <font>
      <b/>
      <sz val="12"/>
      <color theme="1"/>
      <name val="Calibri"/>
      <family val="2"/>
      <scheme val="minor"/>
    </font>
    <font>
      <sz val="12"/>
      <color theme="1"/>
      <name val="Calibri"/>
      <family val="2"/>
      <scheme val="minor"/>
    </font>
    <font>
      <b/>
      <i/>
      <u/>
      <sz val="12"/>
      <name val="Calibri"/>
      <family val="2"/>
      <scheme val="minor"/>
    </font>
    <font>
      <b/>
      <i/>
      <sz val="14"/>
      <name val="Calibri"/>
      <family val="2"/>
      <scheme val="minor"/>
    </font>
    <font>
      <b/>
      <sz val="14"/>
      <name val="Calibri"/>
      <family val="2"/>
      <scheme val="minor"/>
    </font>
    <font>
      <sz val="14"/>
      <color theme="1"/>
      <name val="Calibri"/>
      <family val="2"/>
      <scheme val="minor"/>
    </font>
    <font>
      <b/>
      <sz val="11"/>
      <color rgb="FFC00000"/>
      <name val="Calibri"/>
      <family val="2"/>
      <scheme val="minor"/>
    </font>
    <font>
      <sz val="11"/>
      <color rgb="FFC00000"/>
      <name val="Calibri"/>
      <family val="2"/>
      <scheme val="minor"/>
    </font>
    <font>
      <sz val="8"/>
      <name val="Calibri"/>
      <family val="2"/>
      <scheme val="minor"/>
    </font>
    <font>
      <b/>
      <sz val="10"/>
      <color rgb="FF00B050"/>
      <name val="Calibri"/>
      <family val="2"/>
      <scheme val="minor"/>
    </font>
    <font>
      <b/>
      <sz val="11"/>
      <color rgb="FF00B050"/>
      <name val="Calibri"/>
      <family val="2"/>
      <scheme val="minor"/>
    </font>
  </fonts>
  <fills count="6">
    <fill>
      <patternFill patternType="none"/>
    </fill>
    <fill>
      <patternFill patternType="gray125"/>
    </fill>
    <fill>
      <patternFill patternType="solid">
        <fgColor rgb="FFDEDEDE"/>
        <bgColor indexed="64"/>
      </patternFill>
    </fill>
    <fill>
      <patternFill patternType="solid">
        <fgColor rgb="FFFFFF00"/>
        <bgColor indexed="64"/>
      </patternFill>
    </fill>
    <fill>
      <patternFill patternType="solid">
        <fgColor theme="5" tint="0.39997558519241921"/>
        <bgColor indexed="64"/>
      </patternFill>
    </fill>
    <fill>
      <patternFill patternType="solid">
        <fgColor theme="0" tint="-4.9989318521683403E-2"/>
        <bgColor indexed="64"/>
      </patternFill>
    </fill>
  </fills>
  <borders count="13">
    <border>
      <left/>
      <right/>
      <top/>
      <bottom/>
      <diagonal/>
    </border>
    <border>
      <left/>
      <right/>
      <top/>
      <bottom style="hair">
        <color theme="0" tint="-0.24994659260841701"/>
      </bottom>
      <diagonal/>
    </border>
    <border>
      <left/>
      <right/>
      <top style="hair">
        <color theme="0" tint="-0.24994659260841701"/>
      </top>
      <bottom style="hair">
        <color theme="0" tint="-0.24994659260841701"/>
      </bottom>
      <diagonal/>
    </border>
    <border>
      <left style="hair">
        <color theme="0" tint="-0.24994659260841701"/>
      </left>
      <right style="hair">
        <color theme="0" tint="-0.24994659260841701"/>
      </right>
      <top/>
      <bottom style="hair">
        <color theme="0" tint="-0.24994659260841701"/>
      </bottom>
      <diagonal/>
    </border>
    <border>
      <left/>
      <right style="hair">
        <color theme="0" tint="-0.24994659260841701"/>
      </right>
      <top/>
      <bottom style="hair">
        <color theme="0" tint="-0.24994659260841701"/>
      </bottom>
      <diagonal/>
    </border>
    <border>
      <left style="hair">
        <color theme="0" tint="-0.24994659260841701"/>
      </left>
      <right/>
      <top/>
      <bottom style="hair">
        <color theme="0" tint="-0.24994659260841701"/>
      </bottom>
      <diagonal/>
    </border>
    <border>
      <left/>
      <right style="hair">
        <color theme="0" tint="-0.24994659260841701"/>
      </right>
      <top style="hair">
        <color theme="0" tint="-0.24994659260841701"/>
      </top>
      <bottom style="hair">
        <color theme="0" tint="-0.24994659260841701"/>
      </bottom>
      <diagonal/>
    </border>
    <border>
      <left style="hair">
        <color theme="0" tint="-0.24994659260841701"/>
      </left>
      <right/>
      <top style="hair">
        <color theme="0" tint="-0.24994659260841701"/>
      </top>
      <bottom style="hair">
        <color theme="0" tint="-0.24994659260841701"/>
      </bottom>
      <diagonal/>
    </border>
    <border>
      <left/>
      <right/>
      <top style="hair">
        <color theme="0" tint="-0.24994659260841701"/>
      </top>
      <bottom/>
      <diagonal/>
    </border>
    <border>
      <left/>
      <right/>
      <top/>
      <bottom style="double">
        <color indexed="64"/>
      </bottom>
      <diagonal/>
    </border>
    <border>
      <left/>
      <right/>
      <top style="thin">
        <color indexed="64"/>
      </top>
      <bottom/>
      <diagonal/>
    </border>
    <border>
      <left/>
      <right/>
      <top/>
      <bottom style="hair">
        <color indexed="64"/>
      </bottom>
      <diagonal/>
    </border>
    <border>
      <left/>
      <right/>
      <top style="hair">
        <color auto="1"/>
      </top>
      <bottom style="hair">
        <color auto="1"/>
      </bottom>
      <diagonal/>
    </border>
  </borders>
  <cellStyleXfs count="8">
    <xf numFmtId="0" fontId="0" fillId="0" borderId="0"/>
    <xf numFmtId="0" fontId="2" fillId="0" borderId="0"/>
    <xf numFmtId="0" fontId="13" fillId="0" borderId="0"/>
    <xf numFmtId="0" fontId="25" fillId="0" borderId="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 fillId="0" borderId="0"/>
  </cellStyleXfs>
  <cellXfs count="270">
    <xf numFmtId="0" fontId="0" fillId="0" borderId="0" xfId="0"/>
    <xf numFmtId="164" fontId="3" fillId="0" borderId="0" xfId="0" applyNumberFormat="1" applyFont="1" applyBorder="1" applyAlignment="1">
      <alignment horizontal="center"/>
    </xf>
    <xf numFmtId="0" fontId="3" fillId="0" borderId="0" xfId="0" applyNumberFormat="1" applyFont="1" applyBorder="1" applyAlignment="1">
      <alignment horizontal="center"/>
    </xf>
    <xf numFmtId="0" fontId="10" fillId="0" borderId="0" xfId="0" applyNumberFormat="1" applyFont="1" applyBorder="1"/>
    <xf numFmtId="0" fontId="10" fillId="0" borderId="0" xfId="0" applyNumberFormat="1" applyFont="1" applyBorder="1" applyAlignment="1">
      <alignment horizontal="center"/>
    </xf>
    <xf numFmtId="49" fontId="3" fillId="2" borderId="0" xfId="2" applyNumberFormat="1" applyFont="1" applyFill="1" applyAlignment="1">
      <alignment horizontal="center" vertical="center"/>
    </xf>
    <xf numFmtId="165" fontId="3" fillId="2" borderId="0" xfId="2" applyNumberFormat="1" applyFont="1" applyFill="1" applyAlignment="1">
      <alignment horizontal="center" vertical="center"/>
    </xf>
    <xf numFmtId="0" fontId="3" fillId="0" borderId="0" xfId="2" applyFont="1" applyAlignment="1">
      <alignment vertical="center"/>
    </xf>
    <xf numFmtId="49" fontId="10" fillId="0" borderId="0" xfId="2" applyNumberFormat="1" applyFont="1" applyAlignment="1">
      <alignment horizontal="center" vertical="top"/>
    </xf>
    <xf numFmtId="165" fontId="10" fillId="0" borderId="0" xfId="2" applyNumberFormat="1" applyFont="1" applyAlignment="1">
      <alignment horizontal="center" vertical="top"/>
    </xf>
    <xf numFmtId="0" fontId="10" fillId="0" borderId="0" xfId="2" applyFont="1" applyAlignment="1">
      <alignment vertical="top"/>
    </xf>
    <xf numFmtId="49" fontId="10" fillId="0" borderId="0" xfId="2" applyNumberFormat="1" applyFont="1" applyAlignment="1">
      <alignment horizontal="center"/>
    </xf>
    <xf numFmtId="165" fontId="10" fillId="0" borderId="0" xfId="2" applyNumberFormat="1" applyFont="1" applyAlignment="1">
      <alignment horizontal="center"/>
    </xf>
    <xf numFmtId="0" fontId="10" fillId="0" borderId="0" xfId="2" applyFont="1"/>
    <xf numFmtId="0" fontId="3" fillId="0" borderId="0" xfId="0" applyNumberFormat="1" applyFont="1" applyBorder="1" applyAlignment="1">
      <alignment horizontal="center" vertical="center"/>
    </xf>
    <xf numFmtId="0" fontId="3" fillId="0" borderId="0" xfId="0" applyNumberFormat="1" applyFont="1" applyBorder="1" applyAlignment="1">
      <alignment vertical="center"/>
    </xf>
    <xf numFmtId="0" fontId="3" fillId="0" borderId="0" xfId="0" applyNumberFormat="1" applyFont="1" applyBorder="1" applyAlignment="1">
      <alignment horizontal="left" vertical="center"/>
    </xf>
    <xf numFmtId="0" fontId="3" fillId="3" borderId="0" xfId="0" applyNumberFormat="1" applyFont="1" applyFill="1" applyBorder="1" applyAlignment="1">
      <alignment horizontal="center" vertical="center"/>
    </xf>
    <xf numFmtId="0" fontId="3" fillId="3" borderId="0" xfId="0" applyNumberFormat="1" applyFont="1" applyFill="1" applyBorder="1" applyAlignment="1">
      <alignment horizontal="left" vertical="center"/>
    </xf>
    <xf numFmtId="0" fontId="3" fillId="3" borderId="0" xfId="0" applyNumberFormat="1" applyFont="1" applyFill="1" applyBorder="1" applyAlignment="1">
      <alignment horizontal="right" vertical="center"/>
    </xf>
    <xf numFmtId="165" fontId="10" fillId="0" borderId="0" xfId="2" applyNumberFormat="1" applyFont="1" applyAlignment="1">
      <alignment horizontal="center" vertical="top"/>
    </xf>
    <xf numFmtId="49" fontId="10" fillId="0" borderId="0" xfId="2" applyNumberFormat="1" applyFont="1" applyAlignment="1">
      <alignment horizontal="center" vertical="top"/>
    </xf>
    <xf numFmtId="165" fontId="10" fillId="0" borderId="0" xfId="2" applyNumberFormat="1" applyFont="1" applyAlignment="1">
      <alignment horizontal="center" vertical="top"/>
    </xf>
    <xf numFmtId="49" fontId="10" fillId="0" borderId="0" xfId="2" applyNumberFormat="1" applyFont="1" applyAlignment="1">
      <alignment horizontal="center" vertical="top"/>
    </xf>
    <xf numFmtId="0" fontId="18" fillId="0" borderId="0" xfId="0" applyFont="1" applyBorder="1" applyAlignment="1" applyProtection="1">
      <alignment vertical="center"/>
      <protection hidden="1"/>
    </xf>
    <xf numFmtId="49" fontId="9" fillId="0" borderId="0" xfId="0" applyNumberFormat="1" applyFont="1" applyBorder="1" applyAlignment="1" applyProtection="1">
      <alignment horizontal="center"/>
      <protection locked="0"/>
    </xf>
    <xf numFmtId="0" fontId="10" fillId="0" borderId="0" xfId="0" applyFont="1" applyProtection="1">
      <protection hidden="1"/>
    </xf>
    <xf numFmtId="0" fontId="10" fillId="0" borderId="0" xfId="0" applyFont="1" applyAlignment="1" applyProtection="1">
      <alignment vertical="center"/>
      <protection hidden="1"/>
    </xf>
    <xf numFmtId="0" fontId="7" fillId="0" borderId="0" xfId="0" applyFont="1" applyAlignment="1" applyProtection="1">
      <alignment vertical="center"/>
      <protection hidden="1"/>
    </xf>
    <xf numFmtId="0" fontId="3" fillId="0" borderId="0" xfId="0" applyFont="1" applyProtection="1">
      <protection hidden="1"/>
    </xf>
    <xf numFmtId="0" fontId="7" fillId="0" borderId="0" xfId="0" applyFont="1" applyFill="1" applyAlignment="1" applyProtection="1">
      <alignment vertical="center"/>
      <protection hidden="1"/>
    </xf>
    <xf numFmtId="0" fontId="4" fillId="0" borderId="0" xfId="0" applyFont="1" applyAlignment="1" applyProtection="1">
      <alignment vertical="center"/>
      <protection hidden="1"/>
    </xf>
    <xf numFmtId="0" fontId="3" fillId="0" borderId="0" xfId="0" applyFont="1" applyAlignment="1" applyProtection="1">
      <alignment vertical="center"/>
      <protection hidden="1"/>
    </xf>
    <xf numFmtId="0" fontId="9" fillId="0" borderId="0" xfId="0" applyFont="1" applyBorder="1" applyAlignment="1" applyProtection="1">
      <alignment horizontal="right" vertical="center" wrapText="1" indent="1"/>
      <protection hidden="1"/>
    </xf>
    <xf numFmtId="0" fontId="9" fillId="0" borderId="0" xfId="0" applyFont="1" applyBorder="1" applyAlignment="1" applyProtection="1">
      <alignment vertical="center"/>
      <protection hidden="1"/>
    </xf>
    <xf numFmtId="0" fontId="9" fillId="0" borderId="0" xfId="0" applyFont="1" applyBorder="1" applyAlignment="1" applyProtection="1">
      <alignment horizontal="right" vertical="center" indent="1"/>
      <protection hidden="1"/>
    </xf>
    <xf numFmtId="4" fontId="9" fillId="0" borderId="0" xfId="0" applyNumberFormat="1" applyFont="1" applyBorder="1" applyAlignment="1" applyProtection="1">
      <alignment horizontal="right" indent="1"/>
      <protection hidden="1"/>
    </xf>
    <xf numFmtId="49" fontId="5" fillId="0" borderId="0" xfId="0" applyNumberFormat="1" applyFont="1" applyBorder="1" applyAlignment="1" applyProtection="1">
      <alignment horizontal="center" vertical="center"/>
      <protection hidden="1"/>
    </xf>
    <xf numFmtId="0" fontId="5" fillId="0" borderId="0" xfId="0" applyFont="1" applyAlignment="1" applyProtection="1">
      <alignment vertical="center"/>
      <protection hidden="1"/>
    </xf>
    <xf numFmtId="165" fontId="10" fillId="0" borderId="0" xfId="2" applyNumberFormat="1" applyFont="1" applyAlignment="1">
      <alignment horizontal="center" vertical="top"/>
    </xf>
    <xf numFmtId="49" fontId="10" fillId="0" borderId="0" xfId="2" applyNumberFormat="1" applyFont="1" applyAlignment="1">
      <alignment horizontal="center" vertical="top"/>
    </xf>
    <xf numFmtId="49" fontId="10" fillId="0" borderId="0" xfId="0" applyNumberFormat="1" applyFont="1" applyAlignment="1">
      <alignment horizontal="center" vertical="top"/>
    </xf>
    <xf numFmtId="165" fontId="10" fillId="0" borderId="0" xfId="0" applyNumberFormat="1" applyFont="1" applyAlignment="1">
      <alignment horizontal="center" vertical="top"/>
    </xf>
    <xf numFmtId="0" fontId="8" fillId="0" borderId="0" xfId="0" applyFont="1" applyFill="1" applyAlignment="1" applyProtection="1">
      <alignment horizontal="right" vertical="center" indent="1"/>
      <protection hidden="1"/>
    </xf>
    <xf numFmtId="0" fontId="3" fillId="0" borderId="0" xfId="0" applyNumberFormat="1" applyFont="1" applyBorder="1" applyAlignment="1">
      <alignment horizontal="left" vertical="center" indent="1"/>
    </xf>
    <xf numFmtId="0" fontId="19" fillId="0" borderId="2" xfId="0" applyNumberFormat="1" applyFont="1" applyBorder="1" applyAlignment="1" applyProtection="1">
      <alignment horizontal="left" vertical="center"/>
    </xf>
    <xf numFmtId="0" fontId="10" fillId="0" borderId="2" xfId="0" applyNumberFormat="1" applyFont="1" applyBorder="1" applyAlignment="1" applyProtection="1">
      <alignment horizontal="left" vertical="center"/>
    </xf>
    <xf numFmtId="0" fontId="3" fillId="0" borderId="0" xfId="3" applyFont="1" applyAlignment="1" applyProtection="1">
      <alignment horizontal="center" vertical="center"/>
    </xf>
    <xf numFmtId="0" fontId="3" fillId="0" borderId="0" xfId="3" applyFont="1" applyAlignment="1" applyProtection="1">
      <alignment vertical="center"/>
    </xf>
    <xf numFmtId="0" fontId="10" fillId="0" borderId="0" xfId="3" applyFont="1" applyAlignment="1" applyProtection="1">
      <alignment horizontal="center"/>
    </xf>
    <xf numFmtId="0" fontId="10" fillId="0" borderId="0" xfId="3" applyFont="1" applyProtection="1"/>
    <xf numFmtId="0" fontId="10" fillId="0" borderId="0" xfId="3" applyFont="1" applyBorder="1" applyProtection="1"/>
    <xf numFmtId="49" fontId="10" fillId="0" borderId="0" xfId="3" applyNumberFormat="1" applyFont="1" applyBorder="1" applyAlignment="1" applyProtection="1">
      <alignment horizontal="left"/>
    </xf>
    <xf numFmtId="0" fontId="10" fillId="0" borderId="0" xfId="3" applyNumberFormat="1" applyFont="1" applyAlignment="1" applyProtection="1">
      <alignment horizontal="left"/>
    </xf>
    <xf numFmtId="49" fontId="10" fillId="0" borderId="0" xfId="0" applyNumberFormat="1" applyFont="1" applyAlignment="1">
      <alignment horizontal="center" vertical="top"/>
    </xf>
    <xf numFmtId="165" fontId="10" fillId="0" borderId="0" xfId="0" applyNumberFormat="1" applyFont="1" applyAlignment="1">
      <alignment horizontal="center" vertical="top"/>
    </xf>
    <xf numFmtId="0" fontId="3" fillId="0" borderId="0" xfId="3" applyNumberFormat="1" applyFont="1" applyAlignment="1" applyProtection="1">
      <alignment horizontal="center" vertical="center" wrapText="1"/>
    </xf>
    <xf numFmtId="0" fontId="3" fillId="0" borderId="0" xfId="3" applyFont="1" applyAlignment="1" applyProtection="1">
      <alignment horizontal="left" vertical="center" indent="1"/>
    </xf>
    <xf numFmtId="0" fontId="10" fillId="0" borderId="0" xfId="3" applyFont="1" applyFill="1" applyAlignment="1" applyProtection="1">
      <alignment horizontal="center"/>
    </xf>
    <xf numFmtId="0" fontId="10" fillId="0" borderId="0" xfId="3" applyFont="1" applyFill="1" applyBorder="1" applyProtection="1"/>
    <xf numFmtId="0" fontId="5" fillId="0" borderId="1" xfId="0" applyFont="1" applyBorder="1" applyAlignment="1" applyProtection="1">
      <alignment horizontal="left" vertical="center"/>
      <protection hidden="1"/>
    </xf>
    <xf numFmtId="0" fontId="3" fillId="0" borderId="0" xfId="0" applyFont="1" applyBorder="1" applyAlignment="1" applyProtection="1">
      <alignment horizontal="center"/>
      <protection hidden="1"/>
    </xf>
    <xf numFmtId="0" fontId="19" fillId="0" borderId="0" xfId="0" applyFont="1" applyAlignment="1" applyProtection="1">
      <alignment vertical="center"/>
      <protection hidden="1"/>
    </xf>
    <xf numFmtId="0" fontId="28" fillId="0" borderId="0" xfId="0" applyFont="1" applyFill="1" applyAlignment="1" applyProtection="1"/>
    <xf numFmtId="0" fontId="10" fillId="0" borderId="0" xfId="0" applyFont="1" applyAlignment="1" applyProtection="1">
      <alignment horizontal="center"/>
    </xf>
    <xf numFmtId="0" fontId="10" fillId="0" borderId="0" xfId="0" applyFont="1" applyProtection="1"/>
    <xf numFmtId="0" fontId="10" fillId="0" borderId="0" xfId="0" applyFont="1" applyFill="1" applyBorder="1" applyAlignment="1" applyProtection="1"/>
    <xf numFmtId="0" fontId="10" fillId="0" borderId="0" xfId="0" applyFont="1" applyFill="1" applyBorder="1" applyProtection="1"/>
    <xf numFmtId="0" fontId="10" fillId="0" borderId="0" xfId="0" applyFont="1" applyFill="1" applyBorder="1" applyAlignment="1" applyProtection="1">
      <alignment horizontal="center"/>
    </xf>
    <xf numFmtId="0" fontId="3" fillId="0" borderId="0" xfId="0" applyFont="1" applyFill="1" applyBorder="1" applyAlignment="1" applyProtection="1"/>
    <xf numFmtId="0" fontId="29" fillId="0" borderId="0" xfId="0" applyFont="1" applyFill="1" applyBorder="1" applyAlignment="1" applyProtection="1">
      <alignment wrapText="1"/>
    </xf>
    <xf numFmtId="0" fontId="30" fillId="0" borderId="0" xfId="0" applyFont="1" applyFill="1" applyBorder="1" applyAlignment="1" applyProtection="1">
      <alignment wrapText="1"/>
    </xf>
    <xf numFmtId="0" fontId="30" fillId="0" borderId="0" xfId="0" applyFont="1" applyFill="1" applyBorder="1" applyAlignment="1" applyProtection="1"/>
    <xf numFmtId="0" fontId="31" fillId="0" borderId="0" xfId="0" applyFont="1" applyFill="1" applyBorder="1" applyAlignment="1" applyProtection="1">
      <alignment vertical="center"/>
    </xf>
    <xf numFmtId="0" fontId="3"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8" fontId="10" fillId="0" borderId="0" xfId="0" applyNumberFormat="1" applyFont="1" applyBorder="1" applyAlignment="1" applyProtection="1">
      <alignment vertical="center"/>
    </xf>
    <xf numFmtId="0" fontId="3" fillId="0" borderId="0" xfId="0" applyFont="1" applyBorder="1" applyAlignment="1" applyProtection="1">
      <alignment vertical="center"/>
    </xf>
    <xf numFmtId="8" fontId="3" fillId="0" borderId="0" xfId="0" applyNumberFormat="1" applyFont="1" applyBorder="1" applyAlignment="1" applyProtection="1">
      <alignment horizontal="right" vertical="center"/>
    </xf>
    <xf numFmtId="0" fontId="28" fillId="0" borderId="0" xfId="0" applyFont="1" applyFill="1" applyAlignment="1" applyProtection="1">
      <alignment horizontal="center"/>
    </xf>
    <xf numFmtId="0" fontId="3" fillId="0" borderId="0" xfId="0" applyFont="1" applyFill="1" applyBorder="1" applyAlignment="1" applyProtection="1">
      <alignment horizontal="center"/>
    </xf>
    <xf numFmtId="0" fontId="30" fillId="0" borderId="0" xfId="0" applyFont="1" applyFill="1" applyBorder="1" applyAlignment="1" applyProtection="1">
      <alignment horizontal="center"/>
    </xf>
    <xf numFmtId="0" fontId="3" fillId="0" borderId="0" xfId="0" applyFont="1" applyAlignment="1" applyProtection="1">
      <alignment horizontal="center" vertical="center"/>
    </xf>
    <xf numFmtId="0" fontId="3" fillId="0" borderId="0" xfId="0" applyFont="1" applyFill="1" applyBorder="1" applyAlignment="1" applyProtection="1">
      <alignment vertical="center"/>
    </xf>
    <xf numFmtId="0" fontId="5" fillId="0" borderId="0" xfId="0" applyFont="1" applyFill="1" applyBorder="1" applyAlignment="1" applyProtection="1">
      <alignment horizontal="right" vertical="center" indent="1"/>
    </xf>
    <xf numFmtId="0" fontId="34" fillId="0" borderId="0" xfId="0" applyFont="1" applyFill="1" applyBorder="1" applyAlignment="1" applyProtection="1">
      <alignment horizontal="right" vertical="center" indent="1"/>
    </xf>
    <xf numFmtId="168" fontId="34" fillId="0" borderId="0" xfId="0" applyNumberFormat="1" applyFont="1" applyFill="1" applyBorder="1" applyAlignment="1" applyProtection="1">
      <alignment vertical="center"/>
    </xf>
    <xf numFmtId="0" fontId="10" fillId="0" borderId="0" xfId="0" applyFont="1" applyAlignment="1" applyProtection="1">
      <alignment horizontal="center" vertical="center"/>
    </xf>
    <xf numFmtId="8" fontId="10" fillId="0" borderId="0" xfId="0" applyNumberFormat="1" applyFont="1" applyAlignment="1" applyProtection="1">
      <alignment horizontal="center" vertical="center"/>
    </xf>
    <xf numFmtId="167" fontId="19" fillId="0" borderId="11" xfId="0" applyNumberFormat="1" applyFont="1" applyBorder="1" applyAlignment="1" applyProtection="1">
      <alignment horizontal="center" vertical="center"/>
    </xf>
    <xf numFmtId="165" fontId="19" fillId="0" borderId="11" xfId="0" applyNumberFormat="1" applyFont="1" applyBorder="1" applyAlignment="1" applyProtection="1">
      <alignment horizontal="center" vertical="center"/>
      <protection locked="0"/>
    </xf>
    <xf numFmtId="49" fontId="19" fillId="0" borderId="11" xfId="0" applyNumberFormat="1" applyFont="1" applyBorder="1" applyAlignment="1" applyProtection="1">
      <alignment horizontal="center" vertical="center"/>
      <protection locked="0"/>
    </xf>
    <xf numFmtId="1" fontId="19" fillId="0" borderId="11" xfId="0" applyNumberFormat="1" applyFont="1" applyBorder="1" applyAlignment="1" applyProtection="1">
      <alignment horizontal="center" vertical="center"/>
    </xf>
    <xf numFmtId="8" fontId="19" fillId="0" borderId="11" xfId="0" applyNumberFormat="1" applyFont="1" applyBorder="1" applyAlignment="1" applyProtection="1">
      <alignment horizontal="right" vertical="center"/>
      <protection locked="0"/>
    </xf>
    <xf numFmtId="166" fontId="19" fillId="0" borderId="11" xfId="0" applyNumberFormat="1" applyFont="1" applyBorder="1" applyAlignment="1" applyProtection="1">
      <alignment vertical="center"/>
    </xf>
    <xf numFmtId="167" fontId="19" fillId="0" borderId="12" xfId="0" applyNumberFormat="1" applyFont="1" applyBorder="1" applyAlignment="1" applyProtection="1">
      <alignment horizontal="center" vertical="center"/>
    </xf>
    <xf numFmtId="165" fontId="19" fillId="0" borderId="12" xfId="0" applyNumberFormat="1" applyFont="1" applyBorder="1" applyAlignment="1" applyProtection="1">
      <alignment horizontal="center" vertical="center"/>
      <protection locked="0"/>
    </xf>
    <xf numFmtId="165" fontId="19" fillId="0" borderId="12" xfId="0" applyNumberFormat="1" applyFont="1" applyBorder="1" applyAlignment="1" applyProtection="1">
      <alignment horizontal="center" vertical="center"/>
    </xf>
    <xf numFmtId="49" fontId="19" fillId="0" borderId="12" xfId="0" applyNumberFormat="1" applyFont="1" applyBorder="1" applyAlignment="1" applyProtection="1">
      <alignment horizontal="center" vertical="center"/>
      <protection locked="0"/>
    </xf>
    <xf numFmtId="8" fontId="19" fillId="0" borderId="12" xfId="0" applyNumberFormat="1" applyFont="1" applyBorder="1" applyAlignment="1" applyProtection="1">
      <alignment vertical="center"/>
    </xf>
    <xf numFmtId="165" fontId="19" fillId="0" borderId="12" xfId="0" applyNumberFormat="1" applyFont="1" applyFill="1" applyBorder="1" applyAlignment="1" applyProtection="1">
      <alignment horizontal="center" vertical="center"/>
    </xf>
    <xf numFmtId="0" fontId="33" fillId="0" borderId="11" xfId="0" applyFont="1" applyBorder="1" applyAlignment="1" applyProtection="1">
      <alignment horizontal="center" vertical="center" wrapText="1"/>
    </xf>
    <xf numFmtId="0" fontId="9" fillId="0" borderId="11" xfId="0" applyFont="1" applyBorder="1" applyAlignment="1" applyProtection="1">
      <alignment horizontal="center" vertical="center" wrapText="1"/>
    </xf>
    <xf numFmtId="0" fontId="9" fillId="0" borderId="11" xfId="0" applyFont="1" applyBorder="1" applyAlignment="1" applyProtection="1">
      <alignment vertical="center" wrapText="1"/>
    </xf>
    <xf numFmtId="0" fontId="9" fillId="0" borderId="11" xfId="0" applyFont="1" applyBorder="1" applyAlignment="1" applyProtection="1">
      <alignment horizontal="right" vertical="center" wrapText="1"/>
    </xf>
    <xf numFmtId="4" fontId="9" fillId="0" borderId="0" xfId="0" applyNumberFormat="1" applyFont="1" applyBorder="1" applyAlignment="1" applyProtection="1">
      <alignment vertical="center"/>
    </xf>
    <xf numFmtId="0" fontId="9" fillId="0" borderId="3" xfId="0" applyFont="1" applyBorder="1" applyAlignment="1" applyProtection="1">
      <alignment vertical="center"/>
    </xf>
    <xf numFmtId="49" fontId="9" fillId="0" borderId="3" xfId="0" applyNumberFormat="1" applyFont="1" applyBorder="1" applyAlignment="1" applyProtection="1">
      <alignment vertical="center"/>
    </xf>
    <xf numFmtId="49" fontId="9" fillId="0" borderId="5" xfId="0" applyNumberFormat="1" applyFont="1" applyBorder="1" applyAlignment="1" applyProtection="1">
      <alignment vertical="center"/>
    </xf>
    <xf numFmtId="49" fontId="9" fillId="0" borderId="4" xfId="0" applyNumberFormat="1" applyFont="1" applyBorder="1" applyAlignment="1" applyProtection="1">
      <alignment vertical="center"/>
    </xf>
    <xf numFmtId="49" fontId="5" fillId="0" borderId="0" xfId="0" applyNumberFormat="1" applyFont="1" applyBorder="1" applyAlignment="1" applyProtection="1">
      <alignment horizontal="center" vertical="center"/>
    </xf>
    <xf numFmtId="0" fontId="3" fillId="0" borderId="0" xfId="0" applyFont="1" applyBorder="1" applyAlignment="1" applyProtection="1">
      <alignment horizontal="center"/>
    </xf>
    <xf numFmtId="0" fontId="3" fillId="0" borderId="0" xfId="0" applyFont="1" applyProtection="1"/>
    <xf numFmtId="0" fontId="9" fillId="0" borderId="0" xfId="0" applyFont="1" applyBorder="1" applyAlignment="1" applyProtection="1">
      <alignment horizontal="right" vertical="center" indent="1"/>
    </xf>
    <xf numFmtId="0" fontId="9" fillId="0" borderId="0" xfId="0" applyFont="1" applyBorder="1" applyAlignment="1" applyProtection="1">
      <alignment horizontal="left" vertical="center" wrapText="1"/>
    </xf>
    <xf numFmtId="0" fontId="9" fillId="0" borderId="0" xfId="0" applyFont="1" applyBorder="1" applyAlignment="1" applyProtection="1">
      <alignment vertical="center"/>
    </xf>
    <xf numFmtId="0" fontId="8" fillId="0" borderId="0" xfId="0" applyFont="1" applyBorder="1" applyAlignment="1" applyProtection="1">
      <alignment vertical="center"/>
    </xf>
    <xf numFmtId="0" fontId="6" fillId="0" borderId="0" xfId="0" applyFont="1" applyBorder="1" applyAlignment="1" applyProtection="1"/>
    <xf numFmtId="0" fontId="9" fillId="0" borderId="4" xfId="0" applyFont="1" applyBorder="1" applyAlignment="1" applyProtection="1">
      <alignment horizontal="center" vertical="center"/>
    </xf>
    <xf numFmtId="0" fontId="9" fillId="0" borderId="5" xfId="0" applyFont="1" applyBorder="1" applyAlignment="1" applyProtection="1">
      <alignment horizontal="center" vertical="center"/>
    </xf>
    <xf numFmtId="0" fontId="5" fillId="0" borderId="0" xfId="0" applyFont="1" applyAlignment="1" applyProtection="1">
      <alignment vertical="center"/>
    </xf>
    <xf numFmtId="166" fontId="19" fillId="0" borderId="6" xfId="0" applyNumberFormat="1" applyFont="1" applyBorder="1" applyAlignment="1" applyProtection="1">
      <alignment horizontal="right" vertical="center" indent="1"/>
    </xf>
    <xf numFmtId="0" fontId="19" fillId="0" borderId="0" xfId="0" applyFont="1" applyAlignment="1" applyProtection="1">
      <alignment vertical="center"/>
    </xf>
    <xf numFmtId="0" fontId="27" fillId="5" borderId="0" xfId="0" applyFont="1" applyFill="1" applyAlignment="1" applyProtection="1">
      <alignment vertical="center"/>
    </xf>
    <xf numFmtId="0" fontId="27" fillId="5" borderId="0" xfId="0" applyFont="1" applyFill="1" applyAlignment="1" applyProtection="1">
      <alignment horizontal="center" vertical="center"/>
    </xf>
    <xf numFmtId="0" fontId="19" fillId="5" borderId="0" xfId="0" applyFont="1" applyFill="1" applyAlignment="1" applyProtection="1">
      <alignment horizontal="center" vertical="center"/>
    </xf>
    <xf numFmtId="8" fontId="5" fillId="0" borderId="0" xfId="1" applyNumberFormat="1" applyFont="1" applyBorder="1" applyAlignment="1" applyProtection="1">
      <alignment horizontal="right" vertical="center" indent="1"/>
    </xf>
    <xf numFmtId="0" fontId="5" fillId="0" borderId="8" xfId="1" applyFont="1" applyBorder="1" applyAlignment="1" applyProtection="1">
      <alignment horizontal="center" vertical="center"/>
    </xf>
    <xf numFmtId="49" fontId="5" fillId="0" borderId="8" xfId="0" applyNumberFormat="1" applyFont="1" applyBorder="1" applyAlignment="1" applyProtection="1">
      <alignment horizontal="center" vertical="center"/>
    </xf>
    <xf numFmtId="0" fontId="27" fillId="0" borderId="0" xfId="0" applyFont="1" applyFill="1" applyAlignment="1" applyProtection="1">
      <alignment vertical="center"/>
    </xf>
    <xf numFmtId="0" fontId="19" fillId="0" borderId="0" xfId="0" applyFont="1" applyAlignment="1" applyProtection="1">
      <alignment horizontal="center" vertical="center"/>
    </xf>
    <xf numFmtId="0" fontId="3" fillId="0" borderId="0" xfId="0" applyFont="1" applyBorder="1" applyProtection="1"/>
    <xf numFmtId="0" fontId="4" fillId="0" borderId="8" xfId="0" quotePrefix="1" applyFont="1" applyBorder="1" applyAlignment="1" applyProtection="1">
      <alignment horizontal="center"/>
    </xf>
    <xf numFmtId="0" fontId="31" fillId="0" borderId="0" xfId="0" applyFont="1" applyFill="1" applyBorder="1" applyAlignment="1" applyProtection="1">
      <alignment horizontal="left" vertical="center"/>
    </xf>
    <xf numFmtId="0" fontId="38" fillId="0" borderId="0" xfId="7" applyFont="1" applyProtection="1"/>
    <xf numFmtId="0" fontId="1" fillId="0" borderId="0" xfId="7" applyProtection="1"/>
    <xf numFmtId="0" fontId="41" fillId="0" borderId="0" xfId="7" applyFont="1" applyBorder="1" applyAlignment="1" applyProtection="1">
      <alignment vertical="center"/>
    </xf>
    <xf numFmtId="0" fontId="39" fillId="0" borderId="0" xfId="7" applyFont="1" applyAlignment="1" applyProtection="1">
      <alignment vertical="center"/>
    </xf>
    <xf numFmtId="0" fontId="42" fillId="0" borderId="0" xfId="7" applyFont="1" applyBorder="1" applyAlignment="1" applyProtection="1">
      <alignment horizontal="center" vertical="center"/>
    </xf>
    <xf numFmtId="0" fontId="3" fillId="0" borderId="0" xfId="7" applyFont="1" applyProtection="1"/>
    <xf numFmtId="0" fontId="43" fillId="0" borderId="0" xfId="7" applyFont="1" applyAlignment="1" applyProtection="1">
      <alignment vertical="center"/>
    </xf>
    <xf numFmtId="0" fontId="3" fillId="0" borderId="0" xfId="7" applyFont="1" applyAlignment="1" applyProtection="1">
      <alignment horizontal="right" vertical="center" indent="1"/>
    </xf>
    <xf numFmtId="0" fontId="38" fillId="0" borderId="0" xfId="7" applyFont="1" applyBorder="1" applyAlignment="1" applyProtection="1">
      <alignment vertical="center"/>
    </xf>
    <xf numFmtId="0" fontId="5" fillId="0" borderId="0" xfId="7" applyFont="1" applyBorder="1" applyProtection="1"/>
    <xf numFmtId="0" fontId="5" fillId="0" borderId="0" xfId="7" applyFont="1" applyFill="1" applyBorder="1" applyProtection="1"/>
    <xf numFmtId="0" fontId="1" fillId="0" borderId="0" xfId="7" applyFont="1" applyBorder="1" applyProtection="1"/>
    <xf numFmtId="0" fontId="45" fillId="0" borderId="0" xfId="7" applyFont="1" applyProtection="1"/>
    <xf numFmtId="0" fontId="44" fillId="0" borderId="0" xfId="7" applyFont="1" applyBorder="1" applyAlignment="1" applyProtection="1">
      <alignment horizontal="center"/>
    </xf>
    <xf numFmtId="0" fontId="44" fillId="0" borderId="0" xfId="7" applyFont="1" applyBorder="1" applyAlignment="1" applyProtection="1">
      <alignment horizontal="right"/>
    </xf>
    <xf numFmtId="0" fontId="44" fillId="0" borderId="0" xfId="7" applyFont="1" applyFill="1" applyBorder="1" applyAlignment="1" applyProtection="1">
      <alignment horizontal="center"/>
    </xf>
    <xf numFmtId="8" fontId="1" fillId="0" borderId="0" xfId="7" applyNumberFormat="1" applyFont="1" applyFill="1" applyBorder="1" applyAlignment="1" applyProtection="1"/>
    <xf numFmtId="169" fontId="1" fillId="0" borderId="0" xfId="7" applyNumberFormat="1" applyFont="1" applyBorder="1" applyAlignment="1" applyProtection="1"/>
    <xf numFmtId="0" fontId="3" fillId="0" borderId="0" xfId="7" applyFont="1" applyBorder="1" applyProtection="1"/>
    <xf numFmtId="8" fontId="5" fillId="0" borderId="0" xfId="7" applyNumberFormat="1" applyFont="1" applyBorder="1" applyProtection="1"/>
    <xf numFmtId="0" fontId="1" fillId="0" borderId="0" xfId="7" applyFont="1" applyFill="1" applyBorder="1" applyProtection="1"/>
    <xf numFmtId="0" fontId="1" fillId="0" borderId="0" xfId="7" applyFont="1" applyProtection="1"/>
    <xf numFmtId="0" fontId="39" fillId="0" borderId="0" xfId="7" applyFont="1" applyAlignment="1" applyProtection="1">
      <alignment vertical="center" wrapText="1"/>
    </xf>
    <xf numFmtId="0" fontId="46" fillId="0" borderId="0" xfId="7" applyFont="1" applyProtection="1"/>
    <xf numFmtId="0" fontId="47" fillId="0" borderId="0" xfId="7" applyFont="1" applyBorder="1" applyAlignment="1" applyProtection="1">
      <alignment vertical="center"/>
    </xf>
    <xf numFmtId="0" fontId="31" fillId="0" borderId="0" xfId="7" applyFont="1" applyFill="1" applyBorder="1" applyAlignment="1" applyProtection="1">
      <alignment vertical="center"/>
    </xf>
    <xf numFmtId="0" fontId="47" fillId="0" borderId="0" xfId="7" applyFont="1" applyFill="1" applyAlignment="1" applyProtection="1">
      <alignment vertical="center"/>
    </xf>
    <xf numFmtId="0" fontId="48" fillId="0" borderId="0" xfId="7" applyFont="1" applyFill="1" applyBorder="1" applyAlignment="1" applyProtection="1">
      <alignment horizontal="right" vertical="center"/>
    </xf>
    <xf numFmtId="8" fontId="31" fillId="0" borderId="9" xfId="7" applyNumberFormat="1" applyFont="1" applyFill="1" applyBorder="1" applyAlignment="1" applyProtection="1">
      <alignment vertical="center"/>
    </xf>
    <xf numFmtId="0" fontId="47" fillId="0" borderId="0" xfId="7" applyFont="1" applyProtection="1"/>
    <xf numFmtId="0" fontId="49" fillId="0" borderId="0" xfId="7" applyFont="1" applyFill="1" applyBorder="1" applyAlignment="1" applyProtection="1"/>
    <xf numFmtId="0" fontId="50" fillId="0" borderId="0" xfId="7" applyFont="1" applyFill="1" applyBorder="1" applyAlignment="1" applyProtection="1"/>
    <xf numFmtId="0" fontId="50" fillId="0" borderId="0" xfId="7" applyFont="1" applyBorder="1" applyAlignment="1" applyProtection="1"/>
    <xf numFmtId="0" fontId="51" fillId="0" borderId="0" xfId="7" applyFont="1" applyProtection="1"/>
    <xf numFmtId="0" fontId="3" fillId="0" borderId="0" xfId="0" applyFont="1" applyBorder="1" applyAlignment="1" applyProtection="1">
      <alignment horizontal="center"/>
      <protection hidden="1"/>
    </xf>
    <xf numFmtId="0" fontId="5" fillId="0" borderId="1" xfId="0" applyFont="1" applyBorder="1" applyAlignment="1" applyProtection="1">
      <alignment horizontal="left" vertical="center"/>
      <protection hidden="1"/>
    </xf>
    <xf numFmtId="49" fontId="5" fillId="0" borderId="8" xfId="0" applyNumberFormat="1" applyFont="1" applyBorder="1" applyAlignment="1" applyProtection="1">
      <alignment horizontal="center" vertical="center"/>
    </xf>
    <xf numFmtId="0" fontId="3" fillId="0" borderId="0" xfId="0" applyFont="1" applyBorder="1" applyAlignment="1" applyProtection="1">
      <alignment horizontal="center"/>
    </xf>
    <xf numFmtId="8" fontId="10" fillId="0" borderId="0" xfId="0" applyNumberFormat="1" applyFont="1" applyFill="1" applyBorder="1" applyAlignment="1" applyProtection="1">
      <alignment horizontal="center"/>
    </xf>
    <xf numFmtId="0" fontId="10" fillId="0" borderId="0" xfId="0" applyFont="1" applyAlignment="1" applyProtection="1">
      <alignment horizontal="center" vertical="center"/>
    </xf>
    <xf numFmtId="168" fontId="3" fillId="0" borderId="0" xfId="0" applyNumberFormat="1" applyFont="1" applyBorder="1" applyAlignment="1" applyProtection="1">
      <alignment horizontal="right" vertical="center"/>
    </xf>
    <xf numFmtId="0" fontId="10" fillId="0" borderId="0" xfId="0" applyFont="1" applyAlignment="1" applyProtection="1">
      <alignment horizontal="center" vertical="center"/>
    </xf>
    <xf numFmtId="0" fontId="52" fillId="0" borderId="11" xfId="0" applyFont="1" applyBorder="1" applyAlignment="1" applyProtection="1">
      <alignment horizontal="right" vertical="center" wrapText="1"/>
    </xf>
    <xf numFmtId="8" fontId="53" fillId="0" borderId="12" xfId="0" applyNumberFormat="1" applyFont="1" applyBorder="1" applyAlignment="1" applyProtection="1">
      <alignment horizontal="right" vertical="center"/>
      <protection locked="0"/>
    </xf>
    <xf numFmtId="8" fontId="36" fillId="0" borderId="0" xfId="0" applyNumberFormat="1" applyFont="1" applyBorder="1" applyAlignment="1" applyProtection="1">
      <alignment horizontal="right" vertical="center"/>
    </xf>
    <xf numFmtId="0" fontId="4" fillId="0" borderId="0" xfId="0" applyNumberFormat="1" applyFont="1" applyFill="1" applyBorder="1" applyAlignment="1" applyProtection="1">
      <alignment horizontal="center" vertical="center" wrapText="1"/>
    </xf>
    <xf numFmtId="0" fontId="28" fillId="0" borderId="0" xfId="0" applyNumberFormat="1" applyFont="1" applyFill="1" applyAlignment="1" applyProtection="1">
      <alignment horizontal="center"/>
    </xf>
    <xf numFmtId="0" fontId="10"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xf>
    <xf numFmtId="0" fontId="30" fillId="0" borderId="0" xfId="0" applyNumberFormat="1" applyFont="1" applyFill="1" applyBorder="1" applyAlignment="1" applyProtection="1">
      <alignment horizontal="center"/>
    </xf>
    <xf numFmtId="0" fontId="31" fillId="0" borderId="0" xfId="0" applyNumberFormat="1" applyFont="1" applyFill="1" applyBorder="1" applyAlignment="1" applyProtection="1">
      <alignment horizontal="center" vertical="center"/>
    </xf>
    <xf numFmtId="0" fontId="10" fillId="0" borderId="0" xfId="0" applyNumberFormat="1" applyFont="1" applyBorder="1" applyAlignment="1" applyProtection="1">
      <alignment horizontal="center" vertical="center"/>
    </xf>
    <xf numFmtId="0" fontId="10" fillId="0" borderId="0" xfId="0" applyNumberFormat="1" applyFont="1" applyAlignment="1" applyProtection="1">
      <alignment horizontal="center"/>
    </xf>
    <xf numFmtId="0" fontId="54" fillId="0" borderId="0" xfId="0" applyNumberFormat="1" applyFont="1" applyBorder="1" applyAlignment="1" applyProtection="1">
      <alignment horizontal="center" vertical="center"/>
    </xf>
    <xf numFmtId="0" fontId="10" fillId="0" borderId="0" xfId="0" applyNumberFormat="1" applyFont="1" applyBorder="1" applyAlignment="1" applyProtection="1">
      <alignment horizontal="center" vertical="center"/>
      <protection locked="0"/>
    </xf>
    <xf numFmtId="0" fontId="54" fillId="0" borderId="0" xfId="0" applyNumberFormat="1" applyFont="1" applyBorder="1" applyAlignment="1" applyProtection="1">
      <alignment horizontal="center" vertical="center"/>
      <protection locked="0"/>
    </xf>
    <xf numFmtId="0" fontId="21" fillId="0" borderId="0" xfId="0" applyFont="1" applyAlignment="1" applyProtection="1">
      <alignment vertical="center" wrapText="1"/>
    </xf>
    <xf numFmtId="168" fontId="19" fillId="0" borderId="0" xfId="0" applyNumberFormat="1" applyFont="1" applyFill="1" applyBorder="1" applyAlignment="1" applyProtection="1">
      <alignment vertical="center"/>
    </xf>
    <xf numFmtId="0" fontId="10" fillId="0" borderId="0" xfId="0" applyNumberFormat="1" applyFont="1" applyFill="1" applyBorder="1" applyAlignment="1" applyProtection="1">
      <alignment horizontal="center" vertical="center"/>
      <protection locked="0"/>
    </xf>
    <xf numFmtId="49" fontId="3" fillId="2" borderId="0" xfId="2" applyNumberFormat="1" applyFont="1" applyFill="1" applyAlignment="1">
      <alignment vertical="center" wrapText="1"/>
    </xf>
    <xf numFmtId="49" fontId="10" fillId="0" borderId="0" xfId="0" applyNumberFormat="1" applyFont="1" applyAlignment="1">
      <alignment vertical="top" wrapText="1"/>
    </xf>
    <xf numFmtId="49" fontId="10" fillId="0" borderId="0" xfId="2" applyNumberFormat="1" applyFont="1" applyAlignment="1">
      <alignment vertical="top" wrapText="1"/>
    </xf>
    <xf numFmtId="49" fontId="17" fillId="0" borderId="0" xfId="0" applyNumberFormat="1" applyFont="1" applyAlignment="1">
      <alignment vertical="top" wrapText="1"/>
    </xf>
    <xf numFmtId="49" fontId="23" fillId="0" borderId="0" xfId="0" applyNumberFormat="1" applyFont="1" applyAlignment="1">
      <alignment wrapText="1"/>
    </xf>
    <xf numFmtId="49" fontId="17" fillId="0" borderId="0" xfId="0" applyNumberFormat="1" applyFont="1" applyAlignment="1">
      <alignment wrapText="1"/>
    </xf>
    <xf numFmtId="49" fontId="10" fillId="0" borderId="0" xfId="2" quotePrefix="1" applyNumberFormat="1" applyFont="1" applyAlignment="1">
      <alignment vertical="top" wrapText="1"/>
    </xf>
    <xf numFmtId="49" fontId="10" fillId="0" borderId="0" xfId="2" quotePrefix="1" applyNumberFormat="1" applyFont="1" applyAlignment="1">
      <alignment vertical="top"/>
    </xf>
    <xf numFmtId="49" fontId="10" fillId="0" borderId="0" xfId="2" quotePrefix="1" applyNumberFormat="1" applyFont="1" applyAlignment="1">
      <alignment wrapText="1"/>
    </xf>
    <xf numFmtId="49" fontId="10" fillId="0" borderId="0" xfId="2" applyNumberFormat="1" applyFont="1" applyAlignment="1">
      <alignment wrapText="1"/>
    </xf>
    <xf numFmtId="49" fontId="3" fillId="2" borderId="0" xfId="2" applyNumberFormat="1" applyFont="1" applyFill="1" applyAlignment="1">
      <alignment horizontal="left" vertical="center" wrapText="1" indent="1"/>
    </xf>
    <xf numFmtId="0" fontId="10" fillId="0" borderId="0" xfId="2" applyFont="1" applyAlignment="1">
      <alignment horizontal="left" vertical="top" indent="1"/>
    </xf>
    <xf numFmtId="0" fontId="10" fillId="0" borderId="0" xfId="2" applyFont="1" applyAlignment="1">
      <alignment horizontal="left" indent="1"/>
    </xf>
    <xf numFmtId="49" fontId="3" fillId="0" borderId="0" xfId="2" applyNumberFormat="1" applyFont="1" applyAlignment="1">
      <alignment wrapText="1"/>
    </xf>
    <xf numFmtId="0" fontId="19" fillId="0" borderId="12" xfId="0" applyNumberFormat="1" applyFont="1" applyBorder="1" applyAlignment="1" applyProtection="1">
      <alignment vertical="center"/>
    </xf>
    <xf numFmtId="0" fontId="30" fillId="0" borderId="0" xfId="0" applyNumberFormat="1" applyFont="1" applyFill="1" applyBorder="1" applyAlignment="1" applyProtection="1">
      <alignment horizontal="left"/>
    </xf>
    <xf numFmtId="0" fontId="4" fillId="0" borderId="0" xfId="0" applyFont="1" applyBorder="1" applyAlignment="1" applyProtection="1">
      <alignment vertical="center" wrapText="1"/>
    </xf>
    <xf numFmtId="168" fontId="31" fillId="0" borderId="0" xfId="0" applyNumberFormat="1" applyFont="1" applyFill="1" applyBorder="1" applyAlignment="1" applyProtection="1">
      <alignment vertical="center"/>
    </xf>
    <xf numFmtId="166" fontId="19" fillId="0" borderId="0" xfId="0" applyNumberFormat="1" applyFont="1" applyFill="1" applyBorder="1" applyAlignment="1" applyProtection="1">
      <alignment horizontal="right" vertical="center"/>
    </xf>
    <xf numFmtId="165" fontId="19" fillId="5" borderId="0" xfId="0" applyNumberFormat="1" applyFont="1" applyFill="1" applyBorder="1" applyAlignment="1" applyProtection="1">
      <alignment horizontal="left" vertical="center"/>
      <protection locked="0"/>
    </xf>
    <xf numFmtId="165" fontId="19" fillId="5" borderId="0" xfId="0" applyNumberFormat="1" applyFont="1" applyFill="1" applyBorder="1" applyAlignment="1" applyProtection="1">
      <alignment vertical="center"/>
      <protection locked="0"/>
    </xf>
    <xf numFmtId="168" fontId="19" fillId="5" borderId="0" xfId="0" applyNumberFormat="1" applyFont="1" applyFill="1" applyBorder="1" applyAlignment="1" applyProtection="1">
      <alignment vertical="center"/>
      <protection locked="0"/>
    </xf>
    <xf numFmtId="170" fontId="19" fillId="5" borderId="0" xfId="0" applyNumberFormat="1" applyFont="1" applyFill="1" applyProtection="1">
      <protection locked="0"/>
    </xf>
    <xf numFmtId="14" fontId="3" fillId="5" borderId="11" xfId="7" applyNumberFormat="1" applyFont="1" applyFill="1" applyBorder="1" applyAlignment="1" applyProtection="1">
      <alignment vertical="center"/>
      <protection locked="0"/>
    </xf>
    <xf numFmtId="0" fontId="1" fillId="5" borderId="0" xfId="7" applyFont="1" applyFill="1" applyBorder="1" applyAlignment="1" applyProtection="1">
      <alignment horizontal="center"/>
      <protection locked="0"/>
    </xf>
    <xf numFmtId="8" fontId="1" fillId="5" borderId="0" xfId="7" applyNumberFormat="1" applyFont="1" applyFill="1" applyBorder="1" applyAlignment="1" applyProtection="1">
      <protection locked="0"/>
    </xf>
    <xf numFmtId="0" fontId="9" fillId="0" borderId="0" xfId="0" applyNumberFormat="1" applyFont="1" applyBorder="1" applyAlignment="1" applyProtection="1">
      <alignment horizontal="center"/>
      <protection hidden="1"/>
    </xf>
    <xf numFmtId="0" fontId="10" fillId="0" borderId="0" xfId="0" applyNumberFormat="1" applyFont="1" applyBorder="1" applyAlignment="1">
      <alignment horizontal="left" indent="1"/>
    </xf>
    <xf numFmtId="0" fontId="10" fillId="0" borderId="0" xfId="0" applyNumberFormat="1" applyFont="1" applyFill="1" applyBorder="1"/>
    <xf numFmtId="0" fontId="10" fillId="0" borderId="0" xfId="0" applyNumberFormat="1" applyFont="1" applyFill="1" applyBorder="1" applyAlignment="1">
      <alignment horizontal="center"/>
    </xf>
    <xf numFmtId="0" fontId="3"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xf>
    <xf numFmtId="164" fontId="3" fillId="0" borderId="0" xfId="0" applyNumberFormat="1" applyFont="1" applyFill="1" applyBorder="1" applyAlignment="1">
      <alignment horizontal="center"/>
    </xf>
    <xf numFmtId="0" fontId="23" fillId="0" borderId="0" xfId="3" applyFont="1" applyAlignment="1" applyProtection="1">
      <alignment horizontal="left" vertical="center" wrapText="1"/>
    </xf>
    <xf numFmtId="0" fontId="10" fillId="0" borderId="0" xfId="0" applyFont="1" applyAlignment="1" applyProtection="1">
      <alignment horizontal="center" vertical="center"/>
    </xf>
    <xf numFmtId="0" fontId="35" fillId="0" borderId="0" xfId="0" applyFont="1" applyAlignment="1" applyProtection="1">
      <alignment horizontal="center" vertical="center"/>
    </xf>
    <xf numFmtId="0" fontId="19" fillId="5" borderId="0" xfId="0" applyFont="1" applyFill="1" applyBorder="1" applyAlignment="1" applyProtection="1">
      <alignment horizontal="left"/>
      <protection locked="0"/>
    </xf>
    <xf numFmtId="0" fontId="3" fillId="0" borderId="0" xfId="0" applyFont="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10"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21" fillId="0" borderId="0" xfId="0" applyFont="1" applyAlignment="1" applyProtection="1">
      <alignment horizontal="center" vertical="center" wrapText="1"/>
    </xf>
    <xf numFmtId="0" fontId="5" fillId="0" borderId="0" xfId="0" applyFont="1" applyAlignment="1" applyProtection="1">
      <alignment horizontal="left" vertical="center" wrapText="1"/>
    </xf>
    <xf numFmtId="0" fontId="7" fillId="0" borderId="0" xfId="0" applyFont="1" applyFill="1" applyBorder="1" applyAlignment="1" applyProtection="1">
      <alignment horizontal="left" vertical="center"/>
    </xf>
    <xf numFmtId="0" fontId="18" fillId="0" borderId="0" xfId="0" applyFont="1" applyFill="1" applyBorder="1" applyAlignment="1" applyProtection="1">
      <alignment horizontal="right" vertical="center"/>
    </xf>
    <xf numFmtId="0" fontId="19" fillId="0" borderId="0" xfId="0" applyFont="1" applyFill="1" applyBorder="1" applyAlignment="1" applyProtection="1">
      <alignment horizontal="right" vertical="center"/>
      <protection hidden="1"/>
    </xf>
    <xf numFmtId="164" fontId="20" fillId="4" borderId="0" xfId="0" applyNumberFormat="1" applyFont="1" applyFill="1" applyAlignment="1" applyProtection="1">
      <alignment horizontal="center" vertical="center"/>
      <protection locked="0"/>
    </xf>
    <xf numFmtId="0" fontId="37" fillId="0" borderId="0" xfId="7" applyFont="1" applyBorder="1" applyAlignment="1" applyProtection="1">
      <alignment horizontal="right"/>
    </xf>
    <xf numFmtId="0" fontId="5" fillId="0" borderId="0" xfId="7" applyFont="1" applyAlignment="1" applyProtection="1">
      <alignment horizontal="left" vertical="center" wrapText="1"/>
    </xf>
    <xf numFmtId="0" fontId="40" fillId="0" borderId="0" xfId="7" applyFont="1" applyAlignment="1" applyProtection="1">
      <alignment horizontal="right" wrapText="1"/>
    </xf>
    <xf numFmtId="0" fontId="40" fillId="0" borderId="0" xfId="7" applyFont="1" applyAlignment="1" applyProtection="1">
      <alignment horizontal="right"/>
    </xf>
    <xf numFmtId="0" fontId="18" fillId="0" borderId="0" xfId="0" applyFont="1" applyBorder="1" applyAlignment="1" applyProtection="1">
      <alignment horizontal="right" vertical="center"/>
      <protection hidden="1"/>
    </xf>
    <xf numFmtId="0" fontId="19" fillId="0" borderId="0" xfId="0" applyFont="1" applyAlignment="1" applyProtection="1">
      <alignment horizontal="right" vertical="center"/>
      <protection hidden="1"/>
    </xf>
    <xf numFmtId="1" fontId="19" fillId="0" borderId="2" xfId="0" applyNumberFormat="1" applyFont="1" applyBorder="1" applyAlignment="1" applyProtection="1">
      <alignment horizontal="left" vertical="center"/>
    </xf>
    <xf numFmtId="0" fontId="3" fillId="0" borderId="0" xfId="0" applyFont="1" applyAlignment="1" applyProtection="1">
      <alignment horizontal="center"/>
    </xf>
    <xf numFmtId="0" fontId="3" fillId="0" borderId="8" xfId="0" quotePrefix="1" applyFont="1" applyBorder="1" applyAlignment="1" applyProtection="1">
      <alignment horizontal="center"/>
    </xf>
    <xf numFmtId="1" fontId="19" fillId="0" borderId="7" xfId="0" applyNumberFormat="1" applyFont="1" applyBorder="1" applyAlignment="1" applyProtection="1">
      <alignment horizontal="center" vertical="center"/>
    </xf>
    <xf numFmtId="1" fontId="19" fillId="0" borderId="6" xfId="0" applyNumberFormat="1" applyFont="1" applyBorder="1" applyAlignment="1" applyProtection="1">
      <alignment horizontal="center" vertical="center"/>
    </xf>
    <xf numFmtId="1" fontId="19" fillId="0" borderId="2" xfId="0" applyNumberFormat="1" applyFont="1" applyBorder="1" applyAlignment="1" applyProtection="1">
      <alignment horizontal="center" vertical="center"/>
    </xf>
    <xf numFmtId="1" fontId="5" fillId="0" borderId="8" xfId="1" applyNumberFormat="1" applyFont="1" applyBorder="1" applyAlignment="1" applyProtection="1">
      <alignment horizontal="center" vertical="center"/>
    </xf>
    <xf numFmtId="49" fontId="5" fillId="0" borderId="8" xfId="0" applyNumberFormat="1" applyFont="1" applyBorder="1" applyAlignment="1" applyProtection="1">
      <alignment horizontal="center" vertical="center"/>
    </xf>
    <xf numFmtId="0" fontId="3" fillId="0" borderId="0" xfId="0" applyFont="1" applyBorder="1" applyAlignment="1" applyProtection="1">
      <alignment horizontal="center"/>
    </xf>
    <xf numFmtId="0" fontId="36" fillId="0" borderId="0" xfId="0" applyFont="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left" vertical="center" indent="2"/>
    </xf>
    <xf numFmtId="0" fontId="9" fillId="0" borderId="3" xfId="0" applyFont="1" applyBorder="1" applyAlignment="1" applyProtection="1">
      <alignment horizontal="left" vertical="center" indent="2"/>
    </xf>
    <xf numFmtId="0" fontId="9" fillId="0" borderId="4" xfId="0" applyFont="1" applyBorder="1" applyAlignment="1" applyProtection="1">
      <alignment horizontal="left" vertical="center"/>
    </xf>
    <xf numFmtId="0" fontId="9" fillId="0" borderId="3" xfId="0" applyFont="1" applyBorder="1" applyAlignment="1" applyProtection="1">
      <alignment horizontal="left" vertical="center"/>
    </xf>
    <xf numFmtId="0" fontId="9" fillId="0" borderId="5" xfId="0" applyFont="1" applyBorder="1" applyAlignment="1" applyProtection="1">
      <alignment horizontal="left" vertical="center"/>
    </xf>
    <xf numFmtId="0" fontId="5" fillId="0" borderId="0" xfId="0" applyFont="1" applyAlignment="1" applyProtection="1">
      <alignment horizontal="center" vertical="center" wrapText="1"/>
      <protection hidden="1"/>
    </xf>
    <xf numFmtId="0" fontId="11" fillId="0" borderId="0" xfId="0" applyFont="1" applyAlignment="1" applyProtection="1">
      <alignment horizontal="center" vertical="center"/>
      <protection hidden="1"/>
    </xf>
    <xf numFmtId="0" fontId="5" fillId="0" borderId="1" xfId="0" applyFont="1" applyBorder="1" applyAlignment="1" applyProtection="1">
      <alignment horizontal="left" vertical="center"/>
      <protection hidden="1"/>
    </xf>
    <xf numFmtId="0" fontId="5" fillId="0" borderId="1" xfId="0" applyFont="1" applyBorder="1" applyAlignment="1" applyProtection="1">
      <alignment horizontal="left" vertical="center"/>
      <protection locked="0"/>
    </xf>
    <xf numFmtId="0" fontId="9" fillId="0" borderId="2" xfId="0" applyFont="1" applyBorder="1" applyAlignment="1" applyProtection="1">
      <alignment horizontal="left" vertical="center"/>
      <protection locked="0"/>
    </xf>
    <xf numFmtId="49" fontId="9" fillId="0" borderId="8" xfId="0" applyNumberFormat="1" applyFont="1" applyBorder="1" applyAlignment="1" applyProtection="1">
      <alignment horizontal="center"/>
      <protection locked="0"/>
    </xf>
    <xf numFmtId="0" fontId="9" fillId="0" borderId="2" xfId="0" applyFont="1" applyBorder="1" applyAlignment="1" applyProtection="1">
      <alignment horizontal="left" vertical="center"/>
      <protection hidden="1"/>
    </xf>
    <xf numFmtId="0" fontId="9" fillId="0" borderId="8" xfId="0" applyNumberFormat="1" applyFont="1" applyBorder="1" applyAlignment="1" applyProtection="1">
      <alignment horizontal="center"/>
      <protection hidden="1"/>
    </xf>
  </cellXfs>
  <cellStyles count="8">
    <cellStyle name="Euro" xfId="4"/>
    <cellStyle name="Euro 2" xfId="5"/>
    <cellStyle name="Euro 3" xfId="6"/>
    <cellStyle name="Standard" xfId="0" builtinId="0"/>
    <cellStyle name="Standard 2" xfId="1"/>
    <cellStyle name="Standard 2 2" xfId="7"/>
    <cellStyle name="Standard 3" xfId="2"/>
    <cellStyle name="Standard 4" xfId="3"/>
  </cellStyles>
  <dxfs count="0"/>
  <tableStyles count="0" defaultTableStyle="TableStyleMedium9" defaultPivotStyle="PivotStyleLight16"/>
  <colors>
    <mruColors>
      <color rgb="FFD99795"/>
      <color rgb="FFDEDE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Drop" dropLines="29" dropStyle="combo" dx="16" fmlaLink="Kassenbuch!$R$21" fmlaRange="SaKo18" sel="0" val="0"/>
</file>

<file path=xl/ctrlProps/ctrlProp10.xml><?xml version="1.0" encoding="utf-8"?>
<formControlPr xmlns="http://schemas.microsoft.com/office/spreadsheetml/2009/9/main" objectType="Drop" dropLines="29" dropStyle="combo" dx="16" fmlaLink="Kassenbuch!$R$30" fmlaRange="SaKo27" sel="0" val="0"/>
</file>

<file path=xl/ctrlProps/ctrlProp11.xml><?xml version="1.0" encoding="utf-8"?>
<formControlPr xmlns="http://schemas.microsoft.com/office/spreadsheetml/2009/9/main" objectType="Drop" dropLines="29" dropStyle="combo" dx="16" fmlaLink="Kassenbuch!$R$31" fmlaRange="SaKo28" sel="0" val="0"/>
</file>

<file path=xl/ctrlProps/ctrlProp12.xml><?xml version="1.0" encoding="utf-8"?>
<formControlPr xmlns="http://schemas.microsoft.com/office/spreadsheetml/2009/9/main" objectType="Drop" dropLines="29" dropStyle="combo" dx="16" fmlaLink="Kassenbuch!$R$32" fmlaRange="SaKo29" sel="0" val="0"/>
</file>

<file path=xl/ctrlProps/ctrlProp13.xml><?xml version="1.0" encoding="utf-8"?>
<formControlPr xmlns="http://schemas.microsoft.com/office/spreadsheetml/2009/9/main" objectType="Drop" dropLines="29" dropStyle="combo" dx="16" fmlaLink="Kassenbuch!$R$33" fmlaRange="SaKo30" sel="0" val="0"/>
</file>

<file path=xl/ctrlProps/ctrlProp14.xml><?xml version="1.0" encoding="utf-8"?>
<formControlPr xmlns="http://schemas.microsoft.com/office/spreadsheetml/2009/9/main" objectType="Drop" dropLines="29" dropStyle="combo" dx="16" fmlaLink="Kassenbuch!$R$34" fmlaRange="SaKo31" sel="0" val="0"/>
</file>

<file path=xl/ctrlProps/ctrlProp15.xml><?xml version="1.0" encoding="utf-8"?>
<formControlPr xmlns="http://schemas.microsoft.com/office/spreadsheetml/2009/9/main" objectType="Drop" dropLines="29" dropStyle="combo" dx="16" fmlaLink="Kassenbuch!$R$35" fmlaRange="SaKo32" sel="0" val="0"/>
</file>

<file path=xl/ctrlProps/ctrlProp16.xml><?xml version="1.0" encoding="utf-8"?>
<formControlPr xmlns="http://schemas.microsoft.com/office/spreadsheetml/2009/9/main" objectType="Drop" dropLines="29" dropStyle="combo" dx="16" fmlaLink="Kassenbuch!$R$36" fmlaRange="SaKo33" sel="0" val="0"/>
</file>

<file path=xl/ctrlProps/ctrlProp17.xml><?xml version="1.0" encoding="utf-8"?>
<formControlPr xmlns="http://schemas.microsoft.com/office/spreadsheetml/2009/9/main" objectType="Drop" dropLines="29" dropStyle="combo" dx="16" fmlaLink="Kassenbuch!$R$37" fmlaRange="SaKo34" sel="0" val="0"/>
</file>

<file path=xl/ctrlProps/ctrlProp18.xml><?xml version="1.0" encoding="utf-8"?>
<formControlPr xmlns="http://schemas.microsoft.com/office/spreadsheetml/2009/9/main" objectType="Drop" dropLines="29" dropStyle="combo" dx="16" fmlaLink="Kassenbuch!$R$38" fmlaRange="SaKo35" sel="0" val="0"/>
</file>

<file path=xl/ctrlProps/ctrlProp19.xml><?xml version="1.0" encoding="utf-8"?>
<formControlPr xmlns="http://schemas.microsoft.com/office/spreadsheetml/2009/9/main" objectType="Drop" dropLines="29" dropStyle="combo" dx="16" fmlaLink="Kassenbuch!$R$39" fmlaRange="SaKo36" sel="0" val="0"/>
</file>

<file path=xl/ctrlProps/ctrlProp2.xml><?xml version="1.0" encoding="utf-8"?>
<formControlPr xmlns="http://schemas.microsoft.com/office/spreadsheetml/2009/9/main" objectType="Drop" dropLines="29" dropStyle="combo" dx="16" fmlaLink="Kassenbuch!$R$22" fmlaRange="SaKo19" sel="0" val="0"/>
</file>

<file path=xl/ctrlProps/ctrlProp20.xml><?xml version="1.0" encoding="utf-8"?>
<formControlPr xmlns="http://schemas.microsoft.com/office/spreadsheetml/2009/9/main" objectType="Drop" dropLines="29" dropStyle="combo" dx="16" fmlaLink="$R$40" fmlaRange="SaKo37" sel="0" val="0"/>
</file>

<file path=xl/ctrlProps/ctrlProp21.xml><?xml version="1.0" encoding="utf-8"?>
<formControlPr xmlns="http://schemas.microsoft.com/office/spreadsheetml/2009/9/main" objectType="Drop" dropLines="29" dropStyle="combo" dx="16" fmlaLink="Kassenbuch!$R$41" fmlaRange="SaKo38" sel="0" val="0"/>
</file>

<file path=xl/ctrlProps/ctrlProp22.xml><?xml version="1.0" encoding="utf-8"?>
<formControlPr xmlns="http://schemas.microsoft.com/office/spreadsheetml/2009/9/main" objectType="Drop" dropLines="29" dropStyle="combo" dx="16" fmlaLink="Kassenbuch!$R$42" fmlaRange="SaKo39" sel="0" val="0"/>
</file>

<file path=xl/ctrlProps/ctrlProp23.xml><?xml version="1.0" encoding="utf-8"?>
<formControlPr xmlns="http://schemas.microsoft.com/office/spreadsheetml/2009/9/main" objectType="Drop" dropLines="29" dropStyle="combo" dx="16" fmlaLink="Kassenbuch!$R$43" fmlaRange="SaKo40" sel="0" val="0"/>
</file>

<file path=xl/ctrlProps/ctrlProp24.xml><?xml version="1.0" encoding="utf-8"?>
<formControlPr xmlns="http://schemas.microsoft.com/office/spreadsheetml/2009/9/main" objectType="Drop" dropLines="29" dropStyle="combo" dx="16" fmlaLink="Kassenbuch!$R$44" fmlaRange="SaKo41" sel="0" val="0"/>
</file>

<file path=xl/ctrlProps/ctrlProp25.xml><?xml version="1.0" encoding="utf-8"?>
<formControlPr xmlns="http://schemas.microsoft.com/office/spreadsheetml/2009/9/main" objectType="Drop" dropLines="29" dropStyle="combo" dx="16" fmlaLink="Kassenbuch!$R$45" fmlaRange="SaKo42" sel="0" val="0"/>
</file>

<file path=xl/ctrlProps/ctrlProp26.xml><?xml version="1.0" encoding="utf-8"?>
<formControlPr xmlns="http://schemas.microsoft.com/office/spreadsheetml/2009/9/main" objectType="Drop" dropLines="29" dropStyle="combo" dx="16" fmlaLink="Kassenbuch!$R$46" fmlaRange="SaKo43" sel="0" val="0"/>
</file>

<file path=xl/ctrlProps/ctrlProp27.xml><?xml version="1.0" encoding="utf-8"?>
<formControlPr xmlns="http://schemas.microsoft.com/office/spreadsheetml/2009/9/main" objectType="Drop" dropLines="29" dropStyle="combo" dx="16" fmlaLink="Kassenbuch!$R$47" fmlaRange="SaKo44" sel="0" val="0"/>
</file>

<file path=xl/ctrlProps/ctrlProp28.xml><?xml version="1.0" encoding="utf-8"?>
<formControlPr xmlns="http://schemas.microsoft.com/office/spreadsheetml/2009/9/main" objectType="Drop" dropLines="29" dropStyle="combo" dx="16" fmlaLink="Kassenbuch!$R$48" fmlaRange="SaKo45" sel="0" val="0"/>
</file>

<file path=xl/ctrlProps/ctrlProp29.xml><?xml version="1.0" encoding="utf-8"?>
<formControlPr xmlns="http://schemas.microsoft.com/office/spreadsheetml/2009/9/main" objectType="Drop" dropLines="29" dropStyle="combo" dx="16" fmlaLink="Kassenbuch!$R$49" fmlaRange="SaKo46" sel="0" val="0"/>
</file>

<file path=xl/ctrlProps/ctrlProp3.xml><?xml version="1.0" encoding="utf-8"?>
<formControlPr xmlns="http://schemas.microsoft.com/office/spreadsheetml/2009/9/main" objectType="Drop" dropLines="29" dropStyle="combo" dx="16" fmlaLink="Kassenbuch!$R$23" fmlaRange="SaKo20" sel="0" val="0"/>
</file>

<file path=xl/ctrlProps/ctrlProp30.xml><?xml version="1.0" encoding="utf-8"?>
<formControlPr xmlns="http://schemas.microsoft.com/office/spreadsheetml/2009/9/main" objectType="Drop" dropLines="29" dropStyle="combo" dx="16" fmlaLink="Kassenbuch!$R$50" fmlaRange="SaKo47" sel="0" val="0"/>
</file>

<file path=xl/ctrlProps/ctrlProp31.xml><?xml version="1.0" encoding="utf-8"?>
<formControlPr xmlns="http://schemas.microsoft.com/office/spreadsheetml/2009/9/main" objectType="Drop" dropLines="29" dropStyle="combo" dx="16" fmlaLink="Kassenbuch!$R$51" fmlaRange="SaKo48" sel="0" val="0"/>
</file>

<file path=xl/ctrlProps/ctrlProp32.xml><?xml version="1.0" encoding="utf-8"?>
<formControlPr xmlns="http://schemas.microsoft.com/office/spreadsheetml/2009/9/main" objectType="Drop" dropLines="29" dropStyle="combo" dx="16" fmlaLink="Kassenbuch!$R$52" fmlaRange="SaKo49" sel="0" val="0"/>
</file>

<file path=xl/ctrlProps/ctrlProp33.xml><?xml version="1.0" encoding="utf-8"?>
<formControlPr xmlns="http://schemas.microsoft.com/office/spreadsheetml/2009/9/main" objectType="Drop" dropLines="29" dropStyle="combo" dx="16" fmlaLink="Kassenbuch!$R$53" fmlaRange="SaKo50" sel="0" val="0"/>
</file>

<file path=xl/ctrlProps/ctrlProp34.xml><?xml version="1.0" encoding="utf-8"?>
<formControlPr xmlns="http://schemas.microsoft.com/office/spreadsheetml/2009/9/main" objectType="Drop" dropLines="29" dropStyle="combo" dx="16" fmlaLink="Kassenbuch!$R$54" fmlaRange="SaKo51" sel="0" val="0"/>
</file>

<file path=xl/ctrlProps/ctrlProp35.xml><?xml version="1.0" encoding="utf-8"?>
<formControlPr xmlns="http://schemas.microsoft.com/office/spreadsheetml/2009/9/main" objectType="Drop" dropLines="29" dropStyle="combo" dx="16" fmlaLink="Kassenbuch!$R$55" fmlaRange="SaKo52" sel="0" val="0"/>
</file>

<file path=xl/ctrlProps/ctrlProp36.xml><?xml version="1.0" encoding="utf-8"?>
<formControlPr xmlns="http://schemas.microsoft.com/office/spreadsheetml/2009/9/main" objectType="Drop" dropLines="29" dropStyle="combo" dx="16" fmlaLink="Kassenbuch!$R$56" fmlaRange="SaKo53" sel="0" val="0"/>
</file>

<file path=xl/ctrlProps/ctrlProp37.xml><?xml version="1.0" encoding="utf-8"?>
<formControlPr xmlns="http://schemas.microsoft.com/office/spreadsheetml/2009/9/main" objectType="Drop" dropLines="29" dropStyle="combo" dx="16" fmlaLink="Kassenbuch!$R$57" fmlaRange="SaKo54" sel="0" val="0"/>
</file>

<file path=xl/ctrlProps/ctrlProp38.xml><?xml version="1.0" encoding="utf-8"?>
<formControlPr xmlns="http://schemas.microsoft.com/office/spreadsheetml/2009/9/main" objectType="Drop" dropLines="29" dropStyle="combo" dx="16" fmlaLink="Kassenbuch!$R$58" fmlaRange="SaKo55" sel="0" val="0"/>
</file>

<file path=xl/ctrlProps/ctrlProp39.xml><?xml version="1.0" encoding="utf-8"?>
<formControlPr xmlns="http://schemas.microsoft.com/office/spreadsheetml/2009/9/main" objectType="Drop" dropLines="29" dropStyle="combo" dx="16" fmlaLink="Kassenbuch!$R$59" fmlaRange="SaKo56" sel="0" val="0"/>
</file>

<file path=xl/ctrlProps/ctrlProp4.xml><?xml version="1.0" encoding="utf-8"?>
<formControlPr xmlns="http://schemas.microsoft.com/office/spreadsheetml/2009/9/main" objectType="Drop" dropLines="29" dropStyle="combo" dx="16" fmlaLink="Kassenbuch!$R$24" fmlaRange="SaKo21" sel="0" val="0"/>
</file>

<file path=xl/ctrlProps/ctrlProp40.xml><?xml version="1.0" encoding="utf-8"?>
<formControlPr xmlns="http://schemas.microsoft.com/office/spreadsheetml/2009/9/main" objectType="Drop" dropLines="29" dropStyle="combo" dx="16" fmlaLink="Kassenbuch!$R$60" fmlaRange="SaKo57" sel="0" val="0"/>
</file>

<file path=xl/ctrlProps/ctrlProp41.xml><?xml version="1.0" encoding="utf-8"?>
<formControlPr xmlns="http://schemas.microsoft.com/office/spreadsheetml/2009/9/main" objectType="Drop" dropLines="29" dropStyle="combo" dx="16" fmlaLink="Kassenbuch!$R$61" fmlaRange="SaKo58" sel="0" val="0"/>
</file>

<file path=xl/ctrlProps/ctrlProp42.xml><?xml version="1.0" encoding="utf-8"?>
<formControlPr xmlns="http://schemas.microsoft.com/office/spreadsheetml/2009/9/main" objectType="Drop" dropLines="29" dropStyle="combo" dx="16" fmlaLink="Kassenbuch!$R$62" fmlaRange="SaKo59" sel="0" val="0"/>
</file>

<file path=xl/ctrlProps/ctrlProp43.xml><?xml version="1.0" encoding="utf-8"?>
<formControlPr xmlns="http://schemas.microsoft.com/office/spreadsheetml/2009/9/main" objectType="Drop" dropLines="29" dropStyle="combo" dx="16" fmlaLink="Kassenbuch!$R$63" fmlaRange="SaKo60" sel="0" val="0"/>
</file>

<file path=xl/ctrlProps/ctrlProp44.xml><?xml version="1.0" encoding="utf-8"?>
<formControlPr xmlns="http://schemas.microsoft.com/office/spreadsheetml/2009/9/main" objectType="Drop" dropLines="29" dropStyle="combo" dx="16" fmlaLink="Kassenbuch!$R$64" fmlaRange="SaKo61" sel="0" val="0"/>
</file>

<file path=xl/ctrlProps/ctrlProp45.xml><?xml version="1.0" encoding="utf-8"?>
<formControlPr xmlns="http://schemas.microsoft.com/office/spreadsheetml/2009/9/main" objectType="Drop" dropLines="29" dropStyle="combo" dx="16" fmlaLink="Kassenbuch!$R$65" fmlaRange="SaKo62" sel="0" val="0"/>
</file>

<file path=xl/ctrlProps/ctrlProp46.xml><?xml version="1.0" encoding="utf-8"?>
<formControlPr xmlns="http://schemas.microsoft.com/office/spreadsheetml/2009/9/main" objectType="Drop" dropLines="29" dropStyle="combo" dx="16" fmlaLink="Kassenbuch!$R$66" fmlaRange="SaKo63" sel="0" val="0"/>
</file>

<file path=xl/ctrlProps/ctrlProp47.xml><?xml version="1.0" encoding="utf-8"?>
<formControlPr xmlns="http://schemas.microsoft.com/office/spreadsheetml/2009/9/main" objectType="Drop" dropLines="29" dropStyle="combo" dx="16" fmlaLink="Kassenbuch!$R$67" fmlaRange="SaKo64" sel="0" val="0"/>
</file>

<file path=xl/ctrlProps/ctrlProp48.xml><?xml version="1.0" encoding="utf-8"?>
<formControlPr xmlns="http://schemas.microsoft.com/office/spreadsheetml/2009/9/main" objectType="Drop" dropLines="29" dropStyle="combo" dx="16" fmlaLink="Kassenbuch!$R$68" fmlaRange="SaKo65" sel="0" val="0"/>
</file>

<file path=xl/ctrlProps/ctrlProp49.xml><?xml version="1.0" encoding="utf-8"?>
<formControlPr xmlns="http://schemas.microsoft.com/office/spreadsheetml/2009/9/main" objectType="Drop" dropStyle="combo" dx="16" fmlaLink="$Q$20" fmlaRange="Gruppen" noThreeD="1" sel="0" val="0"/>
</file>

<file path=xl/ctrlProps/ctrlProp5.xml><?xml version="1.0" encoding="utf-8"?>
<formControlPr xmlns="http://schemas.microsoft.com/office/spreadsheetml/2009/9/main" objectType="Drop" dropLines="29" dropStyle="combo" dx="16" fmlaLink="Kassenbuch!$R$25" fmlaRange="SaKo22" sel="0" val="0"/>
</file>

<file path=xl/ctrlProps/ctrlProp50.xml><?xml version="1.0" encoding="utf-8"?>
<formControlPr xmlns="http://schemas.microsoft.com/office/spreadsheetml/2009/9/main" objectType="Drop" dropStyle="combo" dx="16" fmlaLink="$Q$21" fmlaRange="Gruppen" noThreeD="1" sel="0" val="0"/>
</file>

<file path=xl/ctrlProps/ctrlProp51.xml><?xml version="1.0" encoding="utf-8"?>
<formControlPr xmlns="http://schemas.microsoft.com/office/spreadsheetml/2009/9/main" objectType="Drop" dropStyle="combo" dx="16" fmlaLink="$Q$22" fmlaRange="Gruppen" noThreeD="1" sel="0" val="0"/>
</file>

<file path=xl/ctrlProps/ctrlProp52.xml><?xml version="1.0" encoding="utf-8"?>
<formControlPr xmlns="http://schemas.microsoft.com/office/spreadsheetml/2009/9/main" objectType="Drop" dropStyle="combo" dx="16" fmlaLink="$Q$23" fmlaRange="Gruppen" noThreeD="1" sel="0" val="0"/>
</file>

<file path=xl/ctrlProps/ctrlProp53.xml><?xml version="1.0" encoding="utf-8"?>
<formControlPr xmlns="http://schemas.microsoft.com/office/spreadsheetml/2009/9/main" objectType="Drop" dropStyle="combo" dx="16" fmlaLink="$Q$24" fmlaRange="Gruppen" noThreeD="1" sel="0" val="0"/>
</file>

<file path=xl/ctrlProps/ctrlProp54.xml><?xml version="1.0" encoding="utf-8"?>
<formControlPr xmlns="http://schemas.microsoft.com/office/spreadsheetml/2009/9/main" objectType="Drop" dropStyle="combo" dx="16" fmlaLink="$Q$25" fmlaRange="Gruppen" noThreeD="1" sel="0" val="0"/>
</file>

<file path=xl/ctrlProps/ctrlProp55.xml><?xml version="1.0" encoding="utf-8"?>
<formControlPr xmlns="http://schemas.microsoft.com/office/spreadsheetml/2009/9/main" objectType="Drop" dropStyle="combo" dx="16" fmlaLink="$Q$26" fmlaRange="Gruppen" noThreeD="1" sel="0" val="0"/>
</file>

<file path=xl/ctrlProps/ctrlProp56.xml><?xml version="1.0" encoding="utf-8"?>
<formControlPr xmlns="http://schemas.microsoft.com/office/spreadsheetml/2009/9/main" objectType="Drop" dropStyle="combo" dx="16" fmlaLink="$Q$27" fmlaRange="Gruppen" noThreeD="1" sel="0" val="0"/>
</file>

<file path=xl/ctrlProps/ctrlProp57.xml><?xml version="1.0" encoding="utf-8"?>
<formControlPr xmlns="http://schemas.microsoft.com/office/spreadsheetml/2009/9/main" objectType="Drop" dropStyle="combo" dx="16" fmlaLink="$Q$28" fmlaRange="Gruppen" noThreeD="1" sel="0" val="0"/>
</file>

<file path=xl/ctrlProps/ctrlProp58.xml><?xml version="1.0" encoding="utf-8"?>
<formControlPr xmlns="http://schemas.microsoft.com/office/spreadsheetml/2009/9/main" objectType="Drop" dropStyle="combo" dx="16" fmlaLink="$Q$29" fmlaRange="Gruppen" noThreeD="1" sel="0" val="0"/>
</file>

<file path=xl/ctrlProps/ctrlProp59.xml><?xml version="1.0" encoding="utf-8"?>
<formControlPr xmlns="http://schemas.microsoft.com/office/spreadsheetml/2009/9/main" objectType="Drop" dropStyle="combo" dx="16" fmlaLink="$Q$30" fmlaRange="Gruppen" noThreeD="1" sel="0" val="0"/>
</file>

<file path=xl/ctrlProps/ctrlProp6.xml><?xml version="1.0" encoding="utf-8"?>
<formControlPr xmlns="http://schemas.microsoft.com/office/spreadsheetml/2009/9/main" objectType="Drop" dropLines="29" dropStyle="combo" dx="16" fmlaLink="Kassenbuch!$R$26" fmlaRange="SaKo23" sel="0" val="0"/>
</file>

<file path=xl/ctrlProps/ctrlProp60.xml><?xml version="1.0" encoding="utf-8"?>
<formControlPr xmlns="http://schemas.microsoft.com/office/spreadsheetml/2009/9/main" objectType="Drop" dropStyle="combo" dx="16" fmlaLink="$Q$31" fmlaRange="Gruppen" noThreeD="1" sel="0" val="0"/>
</file>

<file path=xl/ctrlProps/ctrlProp61.xml><?xml version="1.0" encoding="utf-8"?>
<formControlPr xmlns="http://schemas.microsoft.com/office/spreadsheetml/2009/9/main" objectType="Drop" dropStyle="combo" dx="16" fmlaLink="$Q$32" fmlaRange="Gruppen" noThreeD="1" sel="0" val="0"/>
</file>

<file path=xl/ctrlProps/ctrlProp62.xml><?xml version="1.0" encoding="utf-8"?>
<formControlPr xmlns="http://schemas.microsoft.com/office/spreadsheetml/2009/9/main" objectType="Drop" dropStyle="combo" dx="16" fmlaLink="$Q$33" fmlaRange="Gruppen" noThreeD="1" sel="0" val="0"/>
</file>

<file path=xl/ctrlProps/ctrlProp63.xml><?xml version="1.0" encoding="utf-8"?>
<formControlPr xmlns="http://schemas.microsoft.com/office/spreadsheetml/2009/9/main" objectType="Drop" dropStyle="combo" dx="16" fmlaLink="$Q$34" fmlaRange="Gruppen" noThreeD="1" sel="0" val="0"/>
</file>

<file path=xl/ctrlProps/ctrlProp64.xml><?xml version="1.0" encoding="utf-8"?>
<formControlPr xmlns="http://schemas.microsoft.com/office/spreadsheetml/2009/9/main" objectType="Drop" dropStyle="combo" dx="16" fmlaLink="$Q$35" fmlaRange="Gruppen" noThreeD="1" sel="0" val="0"/>
</file>

<file path=xl/ctrlProps/ctrlProp65.xml><?xml version="1.0" encoding="utf-8"?>
<formControlPr xmlns="http://schemas.microsoft.com/office/spreadsheetml/2009/9/main" objectType="Drop" dropStyle="combo" dx="16" fmlaLink="$Q$36" fmlaRange="Gruppen" noThreeD="1" sel="0" val="0"/>
</file>

<file path=xl/ctrlProps/ctrlProp66.xml><?xml version="1.0" encoding="utf-8"?>
<formControlPr xmlns="http://schemas.microsoft.com/office/spreadsheetml/2009/9/main" objectType="Drop" dropStyle="combo" dx="16" fmlaLink="$Q$37" fmlaRange="Gruppen" noThreeD="1" sel="0" val="0"/>
</file>

<file path=xl/ctrlProps/ctrlProp67.xml><?xml version="1.0" encoding="utf-8"?>
<formControlPr xmlns="http://schemas.microsoft.com/office/spreadsheetml/2009/9/main" objectType="Drop" dropStyle="combo" dx="16" fmlaLink="$Q$38" fmlaRange="Gruppen" noThreeD="1" sel="0" val="0"/>
</file>

<file path=xl/ctrlProps/ctrlProp68.xml><?xml version="1.0" encoding="utf-8"?>
<formControlPr xmlns="http://schemas.microsoft.com/office/spreadsheetml/2009/9/main" objectType="Drop" dropStyle="combo" dx="16" fmlaLink="$Q$39" fmlaRange="Gruppen" noThreeD="1" sel="0" val="0"/>
</file>

<file path=xl/ctrlProps/ctrlProp69.xml><?xml version="1.0" encoding="utf-8"?>
<formControlPr xmlns="http://schemas.microsoft.com/office/spreadsheetml/2009/9/main" objectType="Drop" dropStyle="combo" dx="16" fmlaLink="$Q$40" fmlaRange="Gruppen" noThreeD="1" sel="0" val="0"/>
</file>

<file path=xl/ctrlProps/ctrlProp7.xml><?xml version="1.0" encoding="utf-8"?>
<formControlPr xmlns="http://schemas.microsoft.com/office/spreadsheetml/2009/9/main" objectType="Drop" dropLines="29" dropStyle="combo" dx="16" fmlaLink="Kassenbuch!$R$27" fmlaRange="SaKo24" sel="0" val="0"/>
</file>

<file path=xl/ctrlProps/ctrlProp70.xml><?xml version="1.0" encoding="utf-8"?>
<formControlPr xmlns="http://schemas.microsoft.com/office/spreadsheetml/2009/9/main" objectType="Drop" dropStyle="combo" dx="16" fmlaLink="$Q$41" fmlaRange="Gruppen" noThreeD="1" sel="0" val="0"/>
</file>

<file path=xl/ctrlProps/ctrlProp71.xml><?xml version="1.0" encoding="utf-8"?>
<formControlPr xmlns="http://schemas.microsoft.com/office/spreadsheetml/2009/9/main" objectType="Drop" dropStyle="combo" dx="16" fmlaLink="$Q$42" fmlaRange="Gruppen" noThreeD="1" sel="0" val="0"/>
</file>

<file path=xl/ctrlProps/ctrlProp72.xml><?xml version="1.0" encoding="utf-8"?>
<formControlPr xmlns="http://schemas.microsoft.com/office/spreadsheetml/2009/9/main" objectType="Drop" dropStyle="combo" dx="16" fmlaLink="$Q$43" fmlaRange="Gruppen" noThreeD="1" sel="0" val="0"/>
</file>

<file path=xl/ctrlProps/ctrlProp73.xml><?xml version="1.0" encoding="utf-8"?>
<formControlPr xmlns="http://schemas.microsoft.com/office/spreadsheetml/2009/9/main" objectType="Drop" dropStyle="combo" dx="16" fmlaLink="$Q$44" fmlaRange="Gruppen" noThreeD="1" sel="0" val="0"/>
</file>

<file path=xl/ctrlProps/ctrlProp74.xml><?xml version="1.0" encoding="utf-8"?>
<formControlPr xmlns="http://schemas.microsoft.com/office/spreadsheetml/2009/9/main" objectType="Drop" dropStyle="combo" dx="16" fmlaLink="$Q$45" fmlaRange="Gruppen" noThreeD="1" sel="0" val="0"/>
</file>

<file path=xl/ctrlProps/ctrlProp75.xml><?xml version="1.0" encoding="utf-8"?>
<formControlPr xmlns="http://schemas.microsoft.com/office/spreadsheetml/2009/9/main" objectType="Drop" dropStyle="combo" dx="16" fmlaLink="$Q$46" fmlaRange="Gruppen" noThreeD="1" sel="0" val="0"/>
</file>

<file path=xl/ctrlProps/ctrlProp76.xml><?xml version="1.0" encoding="utf-8"?>
<formControlPr xmlns="http://schemas.microsoft.com/office/spreadsheetml/2009/9/main" objectType="Drop" dropStyle="combo" dx="16" fmlaLink="$Q$47" fmlaRange="Gruppen" noThreeD="1" sel="0" val="0"/>
</file>

<file path=xl/ctrlProps/ctrlProp77.xml><?xml version="1.0" encoding="utf-8"?>
<formControlPr xmlns="http://schemas.microsoft.com/office/spreadsheetml/2009/9/main" objectType="Drop" dropStyle="combo" dx="16" fmlaLink="$Q$48" fmlaRange="Gruppen" noThreeD="1" sel="0" val="0"/>
</file>

<file path=xl/ctrlProps/ctrlProp78.xml><?xml version="1.0" encoding="utf-8"?>
<formControlPr xmlns="http://schemas.microsoft.com/office/spreadsheetml/2009/9/main" objectType="Drop" dropStyle="combo" dx="16" fmlaLink="$Q$49" fmlaRange="Gruppen" noThreeD="1" sel="0" val="0"/>
</file>

<file path=xl/ctrlProps/ctrlProp79.xml><?xml version="1.0" encoding="utf-8"?>
<formControlPr xmlns="http://schemas.microsoft.com/office/spreadsheetml/2009/9/main" objectType="Drop" dropStyle="combo" dx="16" fmlaLink="$Q$50" fmlaRange="Gruppen" noThreeD="1" sel="0" val="0"/>
</file>

<file path=xl/ctrlProps/ctrlProp8.xml><?xml version="1.0" encoding="utf-8"?>
<formControlPr xmlns="http://schemas.microsoft.com/office/spreadsheetml/2009/9/main" objectType="Drop" dropLines="29" dropStyle="combo" dx="16" fmlaLink="Kassenbuch!$R$28" fmlaRange="SaKo25" sel="0" val="0"/>
</file>

<file path=xl/ctrlProps/ctrlProp80.xml><?xml version="1.0" encoding="utf-8"?>
<formControlPr xmlns="http://schemas.microsoft.com/office/spreadsheetml/2009/9/main" objectType="Drop" dropStyle="combo" dx="16" fmlaLink="$Q$51" fmlaRange="Gruppen" noThreeD="1" sel="0" val="0"/>
</file>

<file path=xl/ctrlProps/ctrlProp81.xml><?xml version="1.0" encoding="utf-8"?>
<formControlPr xmlns="http://schemas.microsoft.com/office/spreadsheetml/2009/9/main" objectType="Drop" dropStyle="combo" dx="16" fmlaLink="$Q$52" fmlaRange="Gruppen" noThreeD="1" sel="0" val="0"/>
</file>

<file path=xl/ctrlProps/ctrlProp82.xml><?xml version="1.0" encoding="utf-8"?>
<formControlPr xmlns="http://schemas.microsoft.com/office/spreadsheetml/2009/9/main" objectType="Drop" dropStyle="combo" dx="16" fmlaLink="$Q$53" fmlaRange="Gruppen" noThreeD="1" sel="0" val="0"/>
</file>

<file path=xl/ctrlProps/ctrlProp83.xml><?xml version="1.0" encoding="utf-8"?>
<formControlPr xmlns="http://schemas.microsoft.com/office/spreadsheetml/2009/9/main" objectType="Drop" dropStyle="combo" dx="16" fmlaLink="$Q$54" fmlaRange="Gruppen" noThreeD="1" sel="0" val="0"/>
</file>

<file path=xl/ctrlProps/ctrlProp84.xml><?xml version="1.0" encoding="utf-8"?>
<formControlPr xmlns="http://schemas.microsoft.com/office/spreadsheetml/2009/9/main" objectType="Drop" dropStyle="combo" dx="16" fmlaLink="$Q$55" fmlaRange="Gruppen" noThreeD="1" sel="0" val="0"/>
</file>

<file path=xl/ctrlProps/ctrlProp85.xml><?xml version="1.0" encoding="utf-8"?>
<formControlPr xmlns="http://schemas.microsoft.com/office/spreadsheetml/2009/9/main" objectType="Drop" dropStyle="combo" dx="16" fmlaLink="$Q$56" fmlaRange="Gruppen" noThreeD="1" sel="0" val="0"/>
</file>

<file path=xl/ctrlProps/ctrlProp86.xml><?xml version="1.0" encoding="utf-8"?>
<formControlPr xmlns="http://schemas.microsoft.com/office/spreadsheetml/2009/9/main" objectType="Drop" dropStyle="combo" dx="16" fmlaLink="$Q$57" fmlaRange="Gruppen" noThreeD="1" sel="0" val="0"/>
</file>

<file path=xl/ctrlProps/ctrlProp87.xml><?xml version="1.0" encoding="utf-8"?>
<formControlPr xmlns="http://schemas.microsoft.com/office/spreadsheetml/2009/9/main" objectType="Drop" dropStyle="combo" dx="16" fmlaLink="$Q$58" fmlaRange="Gruppen" noThreeD="1" sel="0" val="0"/>
</file>

<file path=xl/ctrlProps/ctrlProp88.xml><?xml version="1.0" encoding="utf-8"?>
<formControlPr xmlns="http://schemas.microsoft.com/office/spreadsheetml/2009/9/main" objectType="Drop" dropStyle="combo" dx="16" fmlaLink="$Q$59" fmlaRange="Gruppen" noThreeD="1" sel="0" val="0"/>
</file>

<file path=xl/ctrlProps/ctrlProp89.xml><?xml version="1.0" encoding="utf-8"?>
<formControlPr xmlns="http://schemas.microsoft.com/office/spreadsheetml/2009/9/main" objectType="Drop" dropStyle="combo" dx="16" fmlaLink="$Q$60" fmlaRange="Gruppen" noThreeD="1" sel="0" val="0"/>
</file>

<file path=xl/ctrlProps/ctrlProp9.xml><?xml version="1.0" encoding="utf-8"?>
<formControlPr xmlns="http://schemas.microsoft.com/office/spreadsheetml/2009/9/main" objectType="Drop" dropLines="29" dropStyle="combo" dx="16" fmlaLink="Kassenbuch!$R$29" fmlaRange="SaKo26" sel="0" val="0"/>
</file>

<file path=xl/ctrlProps/ctrlProp90.xml><?xml version="1.0" encoding="utf-8"?>
<formControlPr xmlns="http://schemas.microsoft.com/office/spreadsheetml/2009/9/main" objectType="Drop" dropStyle="combo" dx="16" fmlaLink="$Q$61" fmlaRange="Gruppen" noThreeD="1" sel="0" val="0"/>
</file>

<file path=xl/ctrlProps/ctrlProp91.xml><?xml version="1.0" encoding="utf-8"?>
<formControlPr xmlns="http://schemas.microsoft.com/office/spreadsheetml/2009/9/main" objectType="Drop" dropStyle="combo" dx="16" fmlaLink="$Q$62" fmlaRange="Gruppen" noThreeD="1" sel="0" val="0"/>
</file>

<file path=xl/ctrlProps/ctrlProp92.xml><?xml version="1.0" encoding="utf-8"?>
<formControlPr xmlns="http://schemas.microsoft.com/office/spreadsheetml/2009/9/main" objectType="Drop" dropStyle="combo" dx="16" fmlaLink="$Q$63" fmlaRange="Gruppen" noThreeD="1" sel="0" val="0"/>
</file>

<file path=xl/ctrlProps/ctrlProp93.xml><?xml version="1.0" encoding="utf-8"?>
<formControlPr xmlns="http://schemas.microsoft.com/office/spreadsheetml/2009/9/main" objectType="Drop" dropStyle="combo" dx="16" fmlaLink="$Q$64" fmlaRange="Gruppen" noThreeD="1" sel="0" val="0"/>
</file>

<file path=xl/ctrlProps/ctrlProp94.xml><?xml version="1.0" encoding="utf-8"?>
<formControlPr xmlns="http://schemas.microsoft.com/office/spreadsheetml/2009/9/main" objectType="Drop" dropStyle="combo" dx="16" fmlaLink="$Q$65" fmlaRange="Gruppen" noThreeD="1" sel="0" val="0"/>
</file>

<file path=xl/ctrlProps/ctrlProp95.xml><?xml version="1.0" encoding="utf-8"?>
<formControlPr xmlns="http://schemas.microsoft.com/office/spreadsheetml/2009/9/main" objectType="Drop" dropStyle="combo" dx="16" fmlaLink="$Q$66" fmlaRange="Gruppen" noThreeD="1" sel="0" val="0"/>
</file>

<file path=xl/ctrlProps/ctrlProp96.xml><?xml version="1.0" encoding="utf-8"?>
<formControlPr xmlns="http://schemas.microsoft.com/office/spreadsheetml/2009/9/main" objectType="Drop" dropStyle="combo" dx="16" fmlaLink="$Q$67" fmlaRange="Gruppen" noThreeD="1" sel="0" val="0"/>
</file>

<file path=xl/ctrlProps/ctrlProp97.xml><?xml version="1.0" encoding="utf-8"?>
<formControlPr xmlns="http://schemas.microsoft.com/office/spreadsheetml/2009/9/main" objectType="Drop" dropStyle="combo" dx="16" fmlaLink="$Q$68" fmlaRange="Gruppen" noThreeD="1" sel="0" val="0"/>
</file>

<file path=xl/ctrlProps/ctrlProp98.xml><?xml version="1.0" encoding="utf-8"?>
<formControlPr xmlns="http://schemas.microsoft.com/office/spreadsheetml/2009/9/main" objectType="Drop" dropLines="31" dropStyle="combo" dx="16" fmlaLink="Kassenbuch!$R$20" fmlaRange="SaKo17" sel="0"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66675</xdr:colOff>
      <xdr:row>5</xdr:row>
      <xdr:rowOff>77932</xdr:rowOff>
    </xdr:to>
    <xdr:pic>
      <xdr:nvPicPr>
        <xdr:cNvPr id="5" name="Grafik 4" descr="facett_hks37_200x200.png"/>
        <xdr:cNvPicPr>
          <a:picLocks noChangeAspect="1"/>
        </xdr:cNvPicPr>
      </xdr:nvPicPr>
      <xdr:blipFill>
        <a:blip xmlns:r="http://schemas.openxmlformats.org/officeDocument/2006/relationships" r:embed="rId1" cstate="print">
          <a:biLevel thresh="50000"/>
        </a:blip>
        <a:stretch>
          <a:fillRect/>
        </a:stretch>
      </xdr:blipFill>
      <xdr:spPr>
        <a:xfrm>
          <a:off x="0" y="0"/>
          <a:ext cx="990600" cy="1001857"/>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12</xdr:col>
          <xdr:colOff>19050</xdr:colOff>
          <xdr:row>20</xdr:row>
          <xdr:rowOff>19050</xdr:rowOff>
        </xdr:from>
        <xdr:to>
          <xdr:col>14</xdr:col>
          <xdr:colOff>914400</xdr:colOff>
          <xdr:row>21</xdr:row>
          <xdr:rowOff>9525</xdr:rowOff>
        </xdr:to>
        <xdr:sp macro="" textlink="">
          <xdr:nvSpPr>
            <xdr:cNvPr id="5133" name="Drop Down 13" hidden="1">
              <a:extLst>
                <a:ext uri="{63B3BB69-23CF-44E3-9099-C40C66FF867C}">
                  <a14:compatExt spid="_x0000_s51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21</xdr:row>
          <xdr:rowOff>19050</xdr:rowOff>
        </xdr:from>
        <xdr:to>
          <xdr:col>14</xdr:col>
          <xdr:colOff>914400</xdr:colOff>
          <xdr:row>22</xdr:row>
          <xdr:rowOff>9525</xdr:rowOff>
        </xdr:to>
        <xdr:sp macro="" textlink="">
          <xdr:nvSpPr>
            <xdr:cNvPr id="5134" name="Drop Down 14" hidden="1">
              <a:extLst>
                <a:ext uri="{63B3BB69-23CF-44E3-9099-C40C66FF867C}">
                  <a14:compatExt spid="_x0000_s51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22</xdr:row>
          <xdr:rowOff>19050</xdr:rowOff>
        </xdr:from>
        <xdr:to>
          <xdr:col>14</xdr:col>
          <xdr:colOff>914400</xdr:colOff>
          <xdr:row>23</xdr:row>
          <xdr:rowOff>9525</xdr:rowOff>
        </xdr:to>
        <xdr:sp macro="" textlink="">
          <xdr:nvSpPr>
            <xdr:cNvPr id="5135" name="Drop Down 15" hidden="1">
              <a:extLst>
                <a:ext uri="{63B3BB69-23CF-44E3-9099-C40C66FF867C}">
                  <a14:compatExt spid="_x0000_s51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23</xdr:row>
          <xdr:rowOff>19050</xdr:rowOff>
        </xdr:from>
        <xdr:to>
          <xdr:col>14</xdr:col>
          <xdr:colOff>914400</xdr:colOff>
          <xdr:row>24</xdr:row>
          <xdr:rowOff>9525</xdr:rowOff>
        </xdr:to>
        <xdr:sp macro="" textlink="">
          <xdr:nvSpPr>
            <xdr:cNvPr id="5136" name="Drop Down 16" hidden="1">
              <a:extLst>
                <a:ext uri="{63B3BB69-23CF-44E3-9099-C40C66FF867C}">
                  <a14:compatExt spid="_x0000_s51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24</xdr:row>
          <xdr:rowOff>19050</xdr:rowOff>
        </xdr:from>
        <xdr:to>
          <xdr:col>14</xdr:col>
          <xdr:colOff>914400</xdr:colOff>
          <xdr:row>25</xdr:row>
          <xdr:rowOff>9525</xdr:rowOff>
        </xdr:to>
        <xdr:sp macro="" textlink="">
          <xdr:nvSpPr>
            <xdr:cNvPr id="5137" name="Drop Down 17" hidden="1">
              <a:extLst>
                <a:ext uri="{63B3BB69-23CF-44E3-9099-C40C66FF867C}">
                  <a14:compatExt spid="_x0000_s51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25</xdr:row>
          <xdr:rowOff>19050</xdr:rowOff>
        </xdr:from>
        <xdr:to>
          <xdr:col>14</xdr:col>
          <xdr:colOff>914400</xdr:colOff>
          <xdr:row>26</xdr:row>
          <xdr:rowOff>9525</xdr:rowOff>
        </xdr:to>
        <xdr:sp macro="" textlink="">
          <xdr:nvSpPr>
            <xdr:cNvPr id="5138" name="Drop Down 18" hidden="1">
              <a:extLst>
                <a:ext uri="{63B3BB69-23CF-44E3-9099-C40C66FF867C}">
                  <a14:compatExt spid="_x0000_s51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26</xdr:row>
          <xdr:rowOff>19050</xdr:rowOff>
        </xdr:from>
        <xdr:to>
          <xdr:col>14</xdr:col>
          <xdr:colOff>914400</xdr:colOff>
          <xdr:row>27</xdr:row>
          <xdr:rowOff>9525</xdr:rowOff>
        </xdr:to>
        <xdr:sp macro="" textlink="">
          <xdr:nvSpPr>
            <xdr:cNvPr id="5139" name="Drop Down 19" hidden="1">
              <a:extLst>
                <a:ext uri="{63B3BB69-23CF-44E3-9099-C40C66FF867C}">
                  <a14:compatExt spid="_x0000_s51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27</xdr:row>
          <xdr:rowOff>19050</xdr:rowOff>
        </xdr:from>
        <xdr:to>
          <xdr:col>14</xdr:col>
          <xdr:colOff>914400</xdr:colOff>
          <xdr:row>28</xdr:row>
          <xdr:rowOff>9525</xdr:rowOff>
        </xdr:to>
        <xdr:sp macro="" textlink="">
          <xdr:nvSpPr>
            <xdr:cNvPr id="5140" name="Drop Down 20" hidden="1">
              <a:extLst>
                <a:ext uri="{63B3BB69-23CF-44E3-9099-C40C66FF867C}">
                  <a14:compatExt spid="_x0000_s51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28</xdr:row>
          <xdr:rowOff>19050</xdr:rowOff>
        </xdr:from>
        <xdr:to>
          <xdr:col>14</xdr:col>
          <xdr:colOff>914400</xdr:colOff>
          <xdr:row>29</xdr:row>
          <xdr:rowOff>9525</xdr:rowOff>
        </xdr:to>
        <xdr:sp macro="" textlink="">
          <xdr:nvSpPr>
            <xdr:cNvPr id="5141" name="Drop Down 21" hidden="1">
              <a:extLst>
                <a:ext uri="{63B3BB69-23CF-44E3-9099-C40C66FF867C}">
                  <a14:compatExt spid="_x0000_s51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29</xdr:row>
          <xdr:rowOff>19050</xdr:rowOff>
        </xdr:from>
        <xdr:to>
          <xdr:col>14</xdr:col>
          <xdr:colOff>914400</xdr:colOff>
          <xdr:row>30</xdr:row>
          <xdr:rowOff>9525</xdr:rowOff>
        </xdr:to>
        <xdr:sp macro="" textlink="">
          <xdr:nvSpPr>
            <xdr:cNvPr id="5142" name="Drop Down 22" hidden="1">
              <a:extLst>
                <a:ext uri="{63B3BB69-23CF-44E3-9099-C40C66FF867C}">
                  <a14:compatExt spid="_x0000_s51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30</xdr:row>
          <xdr:rowOff>19050</xdr:rowOff>
        </xdr:from>
        <xdr:to>
          <xdr:col>14</xdr:col>
          <xdr:colOff>914400</xdr:colOff>
          <xdr:row>31</xdr:row>
          <xdr:rowOff>9525</xdr:rowOff>
        </xdr:to>
        <xdr:sp macro="" textlink="">
          <xdr:nvSpPr>
            <xdr:cNvPr id="5143" name="Drop Down 23" hidden="1">
              <a:extLst>
                <a:ext uri="{63B3BB69-23CF-44E3-9099-C40C66FF867C}">
                  <a14:compatExt spid="_x0000_s51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31</xdr:row>
          <xdr:rowOff>19050</xdr:rowOff>
        </xdr:from>
        <xdr:to>
          <xdr:col>14</xdr:col>
          <xdr:colOff>914400</xdr:colOff>
          <xdr:row>32</xdr:row>
          <xdr:rowOff>9525</xdr:rowOff>
        </xdr:to>
        <xdr:sp macro="" textlink="">
          <xdr:nvSpPr>
            <xdr:cNvPr id="5144" name="Drop Down 24" hidden="1">
              <a:extLst>
                <a:ext uri="{63B3BB69-23CF-44E3-9099-C40C66FF867C}">
                  <a14:compatExt spid="_x0000_s51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32</xdr:row>
          <xdr:rowOff>19050</xdr:rowOff>
        </xdr:from>
        <xdr:to>
          <xdr:col>14</xdr:col>
          <xdr:colOff>914400</xdr:colOff>
          <xdr:row>33</xdr:row>
          <xdr:rowOff>9525</xdr:rowOff>
        </xdr:to>
        <xdr:sp macro="" textlink="">
          <xdr:nvSpPr>
            <xdr:cNvPr id="5145" name="Drop Down 25" hidden="1">
              <a:extLst>
                <a:ext uri="{63B3BB69-23CF-44E3-9099-C40C66FF867C}">
                  <a14:compatExt spid="_x0000_s5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33</xdr:row>
          <xdr:rowOff>19050</xdr:rowOff>
        </xdr:from>
        <xdr:to>
          <xdr:col>14</xdr:col>
          <xdr:colOff>914400</xdr:colOff>
          <xdr:row>34</xdr:row>
          <xdr:rowOff>9525</xdr:rowOff>
        </xdr:to>
        <xdr:sp macro="" textlink="">
          <xdr:nvSpPr>
            <xdr:cNvPr id="5146" name="Drop Down 26" hidden="1">
              <a:extLst>
                <a:ext uri="{63B3BB69-23CF-44E3-9099-C40C66FF867C}">
                  <a14:compatExt spid="_x0000_s51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34</xdr:row>
          <xdr:rowOff>19050</xdr:rowOff>
        </xdr:from>
        <xdr:to>
          <xdr:col>14</xdr:col>
          <xdr:colOff>914400</xdr:colOff>
          <xdr:row>35</xdr:row>
          <xdr:rowOff>9525</xdr:rowOff>
        </xdr:to>
        <xdr:sp macro="" textlink="">
          <xdr:nvSpPr>
            <xdr:cNvPr id="5147" name="Drop Down 27" hidden="1">
              <a:extLst>
                <a:ext uri="{63B3BB69-23CF-44E3-9099-C40C66FF867C}">
                  <a14:compatExt spid="_x0000_s51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35</xdr:row>
          <xdr:rowOff>19050</xdr:rowOff>
        </xdr:from>
        <xdr:to>
          <xdr:col>14</xdr:col>
          <xdr:colOff>914400</xdr:colOff>
          <xdr:row>36</xdr:row>
          <xdr:rowOff>9525</xdr:rowOff>
        </xdr:to>
        <xdr:sp macro="" textlink="">
          <xdr:nvSpPr>
            <xdr:cNvPr id="5148" name="Drop Down 28" hidden="1">
              <a:extLst>
                <a:ext uri="{63B3BB69-23CF-44E3-9099-C40C66FF867C}">
                  <a14:compatExt spid="_x0000_s51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36</xdr:row>
          <xdr:rowOff>19050</xdr:rowOff>
        </xdr:from>
        <xdr:to>
          <xdr:col>14</xdr:col>
          <xdr:colOff>914400</xdr:colOff>
          <xdr:row>37</xdr:row>
          <xdr:rowOff>9525</xdr:rowOff>
        </xdr:to>
        <xdr:sp macro="" textlink="">
          <xdr:nvSpPr>
            <xdr:cNvPr id="5149" name="Drop Down 29" hidden="1">
              <a:extLst>
                <a:ext uri="{63B3BB69-23CF-44E3-9099-C40C66FF867C}">
                  <a14:compatExt spid="_x0000_s51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37</xdr:row>
          <xdr:rowOff>19050</xdr:rowOff>
        </xdr:from>
        <xdr:to>
          <xdr:col>14</xdr:col>
          <xdr:colOff>914400</xdr:colOff>
          <xdr:row>38</xdr:row>
          <xdr:rowOff>9525</xdr:rowOff>
        </xdr:to>
        <xdr:sp macro="" textlink="">
          <xdr:nvSpPr>
            <xdr:cNvPr id="5150" name="Drop Down 30" hidden="1">
              <a:extLst>
                <a:ext uri="{63B3BB69-23CF-44E3-9099-C40C66FF867C}">
                  <a14:compatExt spid="_x0000_s51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38</xdr:row>
          <xdr:rowOff>19050</xdr:rowOff>
        </xdr:from>
        <xdr:to>
          <xdr:col>14</xdr:col>
          <xdr:colOff>914400</xdr:colOff>
          <xdr:row>39</xdr:row>
          <xdr:rowOff>9525</xdr:rowOff>
        </xdr:to>
        <xdr:sp macro="" textlink="">
          <xdr:nvSpPr>
            <xdr:cNvPr id="5151" name="Drop Down 31" hidden="1">
              <a:extLst>
                <a:ext uri="{63B3BB69-23CF-44E3-9099-C40C66FF867C}">
                  <a14:compatExt spid="_x0000_s51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39</xdr:row>
          <xdr:rowOff>19050</xdr:rowOff>
        </xdr:from>
        <xdr:to>
          <xdr:col>14</xdr:col>
          <xdr:colOff>914400</xdr:colOff>
          <xdr:row>40</xdr:row>
          <xdr:rowOff>9525</xdr:rowOff>
        </xdr:to>
        <xdr:sp macro="" textlink="">
          <xdr:nvSpPr>
            <xdr:cNvPr id="5152" name="Drop Down 32" hidden="1">
              <a:extLst>
                <a:ext uri="{63B3BB69-23CF-44E3-9099-C40C66FF867C}">
                  <a14:compatExt spid="_x0000_s51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40</xdr:row>
          <xdr:rowOff>19050</xdr:rowOff>
        </xdr:from>
        <xdr:to>
          <xdr:col>14</xdr:col>
          <xdr:colOff>914400</xdr:colOff>
          <xdr:row>41</xdr:row>
          <xdr:rowOff>9525</xdr:rowOff>
        </xdr:to>
        <xdr:sp macro="" textlink="">
          <xdr:nvSpPr>
            <xdr:cNvPr id="5153" name="Drop Down 33" hidden="1">
              <a:extLst>
                <a:ext uri="{63B3BB69-23CF-44E3-9099-C40C66FF867C}">
                  <a14:compatExt spid="_x0000_s51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41</xdr:row>
          <xdr:rowOff>19050</xdr:rowOff>
        </xdr:from>
        <xdr:to>
          <xdr:col>14</xdr:col>
          <xdr:colOff>914400</xdr:colOff>
          <xdr:row>42</xdr:row>
          <xdr:rowOff>9525</xdr:rowOff>
        </xdr:to>
        <xdr:sp macro="" textlink="">
          <xdr:nvSpPr>
            <xdr:cNvPr id="5154" name="Drop Down 34" hidden="1">
              <a:extLst>
                <a:ext uri="{63B3BB69-23CF-44E3-9099-C40C66FF867C}">
                  <a14:compatExt spid="_x0000_s51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42</xdr:row>
          <xdr:rowOff>19050</xdr:rowOff>
        </xdr:from>
        <xdr:to>
          <xdr:col>14</xdr:col>
          <xdr:colOff>914400</xdr:colOff>
          <xdr:row>43</xdr:row>
          <xdr:rowOff>9525</xdr:rowOff>
        </xdr:to>
        <xdr:sp macro="" textlink="">
          <xdr:nvSpPr>
            <xdr:cNvPr id="5156" name="Drop Down 36" hidden="1">
              <a:extLst>
                <a:ext uri="{63B3BB69-23CF-44E3-9099-C40C66FF867C}">
                  <a14:compatExt spid="_x0000_s51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43</xdr:row>
          <xdr:rowOff>19050</xdr:rowOff>
        </xdr:from>
        <xdr:to>
          <xdr:col>14</xdr:col>
          <xdr:colOff>914400</xdr:colOff>
          <xdr:row>44</xdr:row>
          <xdr:rowOff>9525</xdr:rowOff>
        </xdr:to>
        <xdr:sp macro="" textlink="">
          <xdr:nvSpPr>
            <xdr:cNvPr id="5157" name="Drop Down 37" hidden="1">
              <a:extLst>
                <a:ext uri="{63B3BB69-23CF-44E3-9099-C40C66FF867C}">
                  <a14:compatExt spid="_x0000_s51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44</xdr:row>
          <xdr:rowOff>19050</xdr:rowOff>
        </xdr:from>
        <xdr:to>
          <xdr:col>14</xdr:col>
          <xdr:colOff>914400</xdr:colOff>
          <xdr:row>45</xdr:row>
          <xdr:rowOff>9525</xdr:rowOff>
        </xdr:to>
        <xdr:sp macro="" textlink="">
          <xdr:nvSpPr>
            <xdr:cNvPr id="5158" name="Drop Down 38" hidden="1">
              <a:extLst>
                <a:ext uri="{63B3BB69-23CF-44E3-9099-C40C66FF867C}">
                  <a14:compatExt spid="_x0000_s51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45</xdr:row>
          <xdr:rowOff>19050</xdr:rowOff>
        </xdr:from>
        <xdr:to>
          <xdr:col>14</xdr:col>
          <xdr:colOff>914400</xdr:colOff>
          <xdr:row>46</xdr:row>
          <xdr:rowOff>9525</xdr:rowOff>
        </xdr:to>
        <xdr:sp macro="" textlink="">
          <xdr:nvSpPr>
            <xdr:cNvPr id="5159" name="Drop Down 39" hidden="1">
              <a:extLst>
                <a:ext uri="{63B3BB69-23CF-44E3-9099-C40C66FF867C}">
                  <a14:compatExt spid="_x0000_s51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46</xdr:row>
          <xdr:rowOff>19050</xdr:rowOff>
        </xdr:from>
        <xdr:to>
          <xdr:col>14</xdr:col>
          <xdr:colOff>914400</xdr:colOff>
          <xdr:row>47</xdr:row>
          <xdr:rowOff>9525</xdr:rowOff>
        </xdr:to>
        <xdr:sp macro="" textlink="">
          <xdr:nvSpPr>
            <xdr:cNvPr id="5160" name="Drop Down 40" hidden="1">
              <a:extLst>
                <a:ext uri="{63B3BB69-23CF-44E3-9099-C40C66FF867C}">
                  <a14:compatExt spid="_x0000_s51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47</xdr:row>
          <xdr:rowOff>19050</xdr:rowOff>
        </xdr:from>
        <xdr:to>
          <xdr:col>14</xdr:col>
          <xdr:colOff>914400</xdr:colOff>
          <xdr:row>48</xdr:row>
          <xdr:rowOff>9525</xdr:rowOff>
        </xdr:to>
        <xdr:sp macro="" textlink="">
          <xdr:nvSpPr>
            <xdr:cNvPr id="5161" name="Drop Down 41" hidden="1">
              <a:extLst>
                <a:ext uri="{63B3BB69-23CF-44E3-9099-C40C66FF867C}">
                  <a14:compatExt spid="_x0000_s51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48</xdr:row>
          <xdr:rowOff>19050</xdr:rowOff>
        </xdr:from>
        <xdr:to>
          <xdr:col>14</xdr:col>
          <xdr:colOff>914400</xdr:colOff>
          <xdr:row>49</xdr:row>
          <xdr:rowOff>9525</xdr:rowOff>
        </xdr:to>
        <xdr:sp macro="" textlink="">
          <xdr:nvSpPr>
            <xdr:cNvPr id="5162" name="Drop Down 42" hidden="1">
              <a:extLst>
                <a:ext uri="{63B3BB69-23CF-44E3-9099-C40C66FF867C}">
                  <a14:compatExt spid="_x0000_s51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49</xdr:row>
          <xdr:rowOff>19050</xdr:rowOff>
        </xdr:from>
        <xdr:to>
          <xdr:col>14</xdr:col>
          <xdr:colOff>914400</xdr:colOff>
          <xdr:row>50</xdr:row>
          <xdr:rowOff>9525</xdr:rowOff>
        </xdr:to>
        <xdr:sp macro="" textlink="">
          <xdr:nvSpPr>
            <xdr:cNvPr id="5163" name="Drop Down 43" hidden="1">
              <a:extLst>
                <a:ext uri="{63B3BB69-23CF-44E3-9099-C40C66FF867C}">
                  <a14:compatExt spid="_x0000_s51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50</xdr:row>
          <xdr:rowOff>19050</xdr:rowOff>
        </xdr:from>
        <xdr:to>
          <xdr:col>14</xdr:col>
          <xdr:colOff>914400</xdr:colOff>
          <xdr:row>51</xdr:row>
          <xdr:rowOff>9525</xdr:rowOff>
        </xdr:to>
        <xdr:sp macro="" textlink="">
          <xdr:nvSpPr>
            <xdr:cNvPr id="5164" name="Drop Down 44" hidden="1">
              <a:extLst>
                <a:ext uri="{63B3BB69-23CF-44E3-9099-C40C66FF867C}">
                  <a14:compatExt spid="_x0000_s51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51</xdr:row>
          <xdr:rowOff>19050</xdr:rowOff>
        </xdr:from>
        <xdr:to>
          <xdr:col>14</xdr:col>
          <xdr:colOff>914400</xdr:colOff>
          <xdr:row>52</xdr:row>
          <xdr:rowOff>9525</xdr:rowOff>
        </xdr:to>
        <xdr:sp macro="" textlink="">
          <xdr:nvSpPr>
            <xdr:cNvPr id="5165" name="Drop Down 45" hidden="1">
              <a:extLst>
                <a:ext uri="{63B3BB69-23CF-44E3-9099-C40C66FF867C}">
                  <a14:compatExt spid="_x0000_s51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52</xdr:row>
          <xdr:rowOff>19050</xdr:rowOff>
        </xdr:from>
        <xdr:to>
          <xdr:col>14</xdr:col>
          <xdr:colOff>914400</xdr:colOff>
          <xdr:row>53</xdr:row>
          <xdr:rowOff>9525</xdr:rowOff>
        </xdr:to>
        <xdr:sp macro="" textlink="">
          <xdr:nvSpPr>
            <xdr:cNvPr id="5166" name="Drop Down 46" hidden="1">
              <a:extLst>
                <a:ext uri="{63B3BB69-23CF-44E3-9099-C40C66FF867C}">
                  <a14:compatExt spid="_x0000_s51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53</xdr:row>
          <xdr:rowOff>19050</xdr:rowOff>
        </xdr:from>
        <xdr:to>
          <xdr:col>14</xdr:col>
          <xdr:colOff>914400</xdr:colOff>
          <xdr:row>54</xdr:row>
          <xdr:rowOff>9525</xdr:rowOff>
        </xdr:to>
        <xdr:sp macro="" textlink="">
          <xdr:nvSpPr>
            <xdr:cNvPr id="5167" name="Drop Down 47" hidden="1">
              <a:extLst>
                <a:ext uri="{63B3BB69-23CF-44E3-9099-C40C66FF867C}">
                  <a14:compatExt spid="_x0000_s51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54</xdr:row>
          <xdr:rowOff>19050</xdr:rowOff>
        </xdr:from>
        <xdr:to>
          <xdr:col>14</xdr:col>
          <xdr:colOff>914400</xdr:colOff>
          <xdr:row>55</xdr:row>
          <xdr:rowOff>9525</xdr:rowOff>
        </xdr:to>
        <xdr:sp macro="" textlink="">
          <xdr:nvSpPr>
            <xdr:cNvPr id="5168" name="Drop Down 48" hidden="1">
              <a:extLst>
                <a:ext uri="{63B3BB69-23CF-44E3-9099-C40C66FF867C}">
                  <a14:compatExt spid="_x0000_s51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55</xdr:row>
          <xdr:rowOff>19050</xdr:rowOff>
        </xdr:from>
        <xdr:to>
          <xdr:col>14</xdr:col>
          <xdr:colOff>914400</xdr:colOff>
          <xdr:row>56</xdr:row>
          <xdr:rowOff>9525</xdr:rowOff>
        </xdr:to>
        <xdr:sp macro="" textlink="">
          <xdr:nvSpPr>
            <xdr:cNvPr id="5169" name="Drop Down 49" hidden="1">
              <a:extLst>
                <a:ext uri="{63B3BB69-23CF-44E3-9099-C40C66FF867C}">
                  <a14:compatExt spid="_x0000_s5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56</xdr:row>
          <xdr:rowOff>19050</xdr:rowOff>
        </xdr:from>
        <xdr:to>
          <xdr:col>14</xdr:col>
          <xdr:colOff>914400</xdr:colOff>
          <xdr:row>57</xdr:row>
          <xdr:rowOff>9525</xdr:rowOff>
        </xdr:to>
        <xdr:sp macro="" textlink="">
          <xdr:nvSpPr>
            <xdr:cNvPr id="5170" name="Drop Down 50" hidden="1">
              <a:extLst>
                <a:ext uri="{63B3BB69-23CF-44E3-9099-C40C66FF867C}">
                  <a14:compatExt spid="_x0000_s51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57</xdr:row>
          <xdr:rowOff>19050</xdr:rowOff>
        </xdr:from>
        <xdr:to>
          <xdr:col>14</xdr:col>
          <xdr:colOff>914400</xdr:colOff>
          <xdr:row>58</xdr:row>
          <xdr:rowOff>9525</xdr:rowOff>
        </xdr:to>
        <xdr:sp macro="" textlink="">
          <xdr:nvSpPr>
            <xdr:cNvPr id="5171" name="Drop Down 51" hidden="1">
              <a:extLst>
                <a:ext uri="{63B3BB69-23CF-44E3-9099-C40C66FF867C}">
                  <a14:compatExt spid="_x0000_s51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58</xdr:row>
          <xdr:rowOff>19050</xdr:rowOff>
        </xdr:from>
        <xdr:to>
          <xdr:col>14</xdr:col>
          <xdr:colOff>914400</xdr:colOff>
          <xdr:row>59</xdr:row>
          <xdr:rowOff>9525</xdr:rowOff>
        </xdr:to>
        <xdr:sp macro="" textlink="">
          <xdr:nvSpPr>
            <xdr:cNvPr id="5172" name="Drop Down 52" hidden="1">
              <a:extLst>
                <a:ext uri="{63B3BB69-23CF-44E3-9099-C40C66FF867C}">
                  <a14:compatExt spid="_x0000_s51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59</xdr:row>
          <xdr:rowOff>19050</xdr:rowOff>
        </xdr:from>
        <xdr:to>
          <xdr:col>14</xdr:col>
          <xdr:colOff>914400</xdr:colOff>
          <xdr:row>60</xdr:row>
          <xdr:rowOff>9525</xdr:rowOff>
        </xdr:to>
        <xdr:sp macro="" textlink="">
          <xdr:nvSpPr>
            <xdr:cNvPr id="5173" name="Drop Down 53" hidden="1">
              <a:extLst>
                <a:ext uri="{63B3BB69-23CF-44E3-9099-C40C66FF867C}">
                  <a14:compatExt spid="_x0000_s51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60</xdr:row>
          <xdr:rowOff>19050</xdr:rowOff>
        </xdr:from>
        <xdr:to>
          <xdr:col>14</xdr:col>
          <xdr:colOff>914400</xdr:colOff>
          <xdr:row>61</xdr:row>
          <xdr:rowOff>9525</xdr:rowOff>
        </xdr:to>
        <xdr:sp macro="" textlink="">
          <xdr:nvSpPr>
            <xdr:cNvPr id="5174" name="Drop Down 54" hidden="1">
              <a:extLst>
                <a:ext uri="{63B3BB69-23CF-44E3-9099-C40C66FF867C}">
                  <a14:compatExt spid="_x0000_s51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61</xdr:row>
          <xdr:rowOff>19050</xdr:rowOff>
        </xdr:from>
        <xdr:to>
          <xdr:col>14</xdr:col>
          <xdr:colOff>914400</xdr:colOff>
          <xdr:row>62</xdr:row>
          <xdr:rowOff>9525</xdr:rowOff>
        </xdr:to>
        <xdr:sp macro="" textlink="">
          <xdr:nvSpPr>
            <xdr:cNvPr id="5175" name="Drop Down 55" hidden="1">
              <a:extLst>
                <a:ext uri="{63B3BB69-23CF-44E3-9099-C40C66FF867C}">
                  <a14:compatExt spid="_x0000_s51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62</xdr:row>
          <xdr:rowOff>19050</xdr:rowOff>
        </xdr:from>
        <xdr:to>
          <xdr:col>14</xdr:col>
          <xdr:colOff>914400</xdr:colOff>
          <xdr:row>63</xdr:row>
          <xdr:rowOff>9525</xdr:rowOff>
        </xdr:to>
        <xdr:sp macro="" textlink="">
          <xdr:nvSpPr>
            <xdr:cNvPr id="5176" name="Drop Down 56" hidden="1">
              <a:extLst>
                <a:ext uri="{63B3BB69-23CF-44E3-9099-C40C66FF867C}">
                  <a14:compatExt spid="_x0000_s51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63</xdr:row>
          <xdr:rowOff>19050</xdr:rowOff>
        </xdr:from>
        <xdr:to>
          <xdr:col>14</xdr:col>
          <xdr:colOff>914400</xdr:colOff>
          <xdr:row>64</xdr:row>
          <xdr:rowOff>9525</xdr:rowOff>
        </xdr:to>
        <xdr:sp macro="" textlink="">
          <xdr:nvSpPr>
            <xdr:cNvPr id="5177" name="Drop Down 57" hidden="1">
              <a:extLst>
                <a:ext uri="{63B3BB69-23CF-44E3-9099-C40C66FF867C}">
                  <a14:compatExt spid="_x0000_s51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64</xdr:row>
          <xdr:rowOff>19050</xdr:rowOff>
        </xdr:from>
        <xdr:to>
          <xdr:col>14</xdr:col>
          <xdr:colOff>914400</xdr:colOff>
          <xdr:row>65</xdr:row>
          <xdr:rowOff>9525</xdr:rowOff>
        </xdr:to>
        <xdr:sp macro="" textlink="">
          <xdr:nvSpPr>
            <xdr:cNvPr id="5178" name="Drop Down 58" hidden="1">
              <a:extLst>
                <a:ext uri="{63B3BB69-23CF-44E3-9099-C40C66FF867C}">
                  <a14:compatExt spid="_x0000_s51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65</xdr:row>
          <xdr:rowOff>19050</xdr:rowOff>
        </xdr:from>
        <xdr:to>
          <xdr:col>14</xdr:col>
          <xdr:colOff>914400</xdr:colOff>
          <xdr:row>66</xdr:row>
          <xdr:rowOff>9525</xdr:rowOff>
        </xdr:to>
        <xdr:sp macro="" textlink="">
          <xdr:nvSpPr>
            <xdr:cNvPr id="5179" name="Drop Down 59" hidden="1">
              <a:extLst>
                <a:ext uri="{63B3BB69-23CF-44E3-9099-C40C66FF867C}">
                  <a14:compatExt spid="_x0000_s51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66</xdr:row>
          <xdr:rowOff>19050</xdr:rowOff>
        </xdr:from>
        <xdr:to>
          <xdr:col>14</xdr:col>
          <xdr:colOff>914400</xdr:colOff>
          <xdr:row>67</xdr:row>
          <xdr:rowOff>9525</xdr:rowOff>
        </xdr:to>
        <xdr:sp macro="" textlink="">
          <xdr:nvSpPr>
            <xdr:cNvPr id="5180" name="Drop Down 60" hidden="1">
              <a:extLst>
                <a:ext uri="{63B3BB69-23CF-44E3-9099-C40C66FF867C}">
                  <a14:compatExt spid="_x0000_s51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67</xdr:row>
          <xdr:rowOff>19050</xdr:rowOff>
        </xdr:from>
        <xdr:to>
          <xdr:col>14</xdr:col>
          <xdr:colOff>914400</xdr:colOff>
          <xdr:row>68</xdr:row>
          <xdr:rowOff>9525</xdr:rowOff>
        </xdr:to>
        <xdr:sp macro="" textlink="">
          <xdr:nvSpPr>
            <xdr:cNvPr id="5181" name="Drop Down 61" hidden="1">
              <a:extLst>
                <a:ext uri="{63B3BB69-23CF-44E3-9099-C40C66FF867C}">
                  <a14:compatExt spid="_x0000_s51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19</xdr:row>
          <xdr:rowOff>9525</xdr:rowOff>
        </xdr:from>
        <xdr:to>
          <xdr:col>11</xdr:col>
          <xdr:colOff>85725</xdr:colOff>
          <xdr:row>20</xdr:row>
          <xdr:rowOff>9525</xdr:rowOff>
        </xdr:to>
        <xdr:sp macro="" textlink="">
          <xdr:nvSpPr>
            <xdr:cNvPr id="5182" name="Drop Down 62" hidden="1">
              <a:extLst>
                <a:ext uri="{63B3BB69-23CF-44E3-9099-C40C66FF867C}">
                  <a14:compatExt spid="_x0000_s51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20</xdr:row>
          <xdr:rowOff>9525</xdr:rowOff>
        </xdr:from>
        <xdr:to>
          <xdr:col>11</xdr:col>
          <xdr:colOff>85725</xdr:colOff>
          <xdr:row>21</xdr:row>
          <xdr:rowOff>9525</xdr:rowOff>
        </xdr:to>
        <xdr:sp macro="" textlink="">
          <xdr:nvSpPr>
            <xdr:cNvPr id="5183" name="Drop Down 63" hidden="1">
              <a:extLst>
                <a:ext uri="{63B3BB69-23CF-44E3-9099-C40C66FF867C}">
                  <a14:compatExt spid="_x0000_s51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21</xdr:row>
          <xdr:rowOff>9525</xdr:rowOff>
        </xdr:from>
        <xdr:to>
          <xdr:col>11</xdr:col>
          <xdr:colOff>85725</xdr:colOff>
          <xdr:row>22</xdr:row>
          <xdr:rowOff>9525</xdr:rowOff>
        </xdr:to>
        <xdr:sp macro="" textlink="">
          <xdr:nvSpPr>
            <xdr:cNvPr id="5184" name="Drop Down 64" hidden="1">
              <a:extLst>
                <a:ext uri="{63B3BB69-23CF-44E3-9099-C40C66FF867C}">
                  <a14:compatExt spid="_x0000_s51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22</xdr:row>
          <xdr:rowOff>9525</xdr:rowOff>
        </xdr:from>
        <xdr:to>
          <xdr:col>11</xdr:col>
          <xdr:colOff>85725</xdr:colOff>
          <xdr:row>23</xdr:row>
          <xdr:rowOff>9525</xdr:rowOff>
        </xdr:to>
        <xdr:sp macro="" textlink="">
          <xdr:nvSpPr>
            <xdr:cNvPr id="5185" name="Drop Down 65" hidden="1">
              <a:extLst>
                <a:ext uri="{63B3BB69-23CF-44E3-9099-C40C66FF867C}">
                  <a14:compatExt spid="_x0000_s51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23</xdr:row>
          <xdr:rowOff>9525</xdr:rowOff>
        </xdr:from>
        <xdr:to>
          <xdr:col>11</xdr:col>
          <xdr:colOff>85725</xdr:colOff>
          <xdr:row>24</xdr:row>
          <xdr:rowOff>9525</xdr:rowOff>
        </xdr:to>
        <xdr:sp macro="" textlink="">
          <xdr:nvSpPr>
            <xdr:cNvPr id="5186" name="Drop Down 66" hidden="1">
              <a:extLst>
                <a:ext uri="{63B3BB69-23CF-44E3-9099-C40C66FF867C}">
                  <a14:compatExt spid="_x0000_s51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24</xdr:row>
          <xdr:rowOff>9525</xdr:rowOff>
        </xdr:from>
        <xdr:to>
          <xdr:col>11</xdr:col>
          <xdr:colOff>85725</xdr:colOff>
          <xdr:row>25</xdr:row>
          <xdr:rowOff>9525</xdr:rowOff>
        </xdr:to>
        <xdr:sp macro="" textlink="">
          <xdr:nvSpPr>
            <xdr:cNvPr id="5187" name="Drop Down 67" hidden="1">
              <a:extLst>
                <a:ext uri="{63B3BB69-23CF-44E3-9099-C40C66FF867C}">
                  <a14:compatExt spid="_x0000_s51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25</xdr:row>
          <xdr:rowOff>9525</xdr:rowOff>
        </xdr:from>
        <xdr:to>
          <xdr:col>11</xdr:col>
          <xdr:colOff>85725</xdr:colOff>
          <xdr:row>26</xdr:row>
          <xdr:rowOff>9525</xdr:rowOff>
        </xdr:to>
        <xdr:sp macro="" textlink="">
          <xdr:nvSpPr>
            <xdr:cNvPr id="5188" name="Drop Down 68" hidden="1">
              <a:extLst>
                <a:ext uri="{63B3BB69-23CF-44E3-9099-C40C66FF867C}">
                  <a14:compatExt spid="_x0000_s51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26</xdr:row>
          <xdr:rowOff>9525</xdr:rowOff>
        </xdr:from>
        <xdr:to>
          <xdr:col>11</xdr:col>
          <xdr:colOff>85725</xdr:colOff>
          <xdr:row>27</xdr:row>
          <xdr:rowOff>9525</xdr:rowOff>
        </xdr:to>
        <xdr:sp macro="" textlink="">
          <xdr:nvSpPr>
            <xdr:cNvPr id="5189" name="Drop Down 69" hidden="1">
              <a:extLst>
                <a:ext uri="{63B3BB69-23CF-44E3-9099-C40C66FF867C}">
                  <a14:compatExt spid="_x0000_s51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27</xdr:row>
          <xdr:rowOff>9525</xdr:rowOff>
        </xdr:from>
        <xdr:to>
          <xdr:col>11</xdr:col>
          <xdr:colOff>85725</xdr:colOff>
          <xdr:row>28</xdr:row>
          <xdr:rowOff>9525</xdr:rowOff>
        </xdr:to>
        <xdr:sp macro="" textlink="">
          <xdr:nvSpPr>
            <xdr:cNvPr id="5190" name="Drop Down 70" hidden="1">
              <a:extLst>
                <a:ext uri="{63B3BB69-23CF-44E3-9099-C40C66FF867C}">
                  <a14:compatExt spid="_x0000_s51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28</xdr:row>
          <xdr:rowOff>9525</xdr:rowOff>
        </xdr:from>
        <xdr:to>
          <xdr:col>11</xdr:col>
          <xdr:colOff>85725</xdr:colOff>
          <xdr:row>29</xdr:row>
          <xdr:rowOff>9525</xdr:rowOff>
        </xdr:to>
        <xdr:sp macro="" textlink="">
          <xdr:nvSpPr>
            <xdr:cNvPr id="5191" name="Drop Down 71" hidden="1">
              <a:extLst>
                <a:ext uri="{63B3BB69-23CF-44E3-9099-C40C66FF867C}">
                  <a14:compatExt spid="_x0000_s51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29</xdr:row>
          <xdr:rowOff>9525</xdr:rowOff>
        </xdr:from>
        <xdr:to>
          <xdr:col>11</xdr:col>
          <xdr:colOff>85725</xdr:colOff>
          <xdr:row>30</xdr:row>
          <xdr:rowOff>9525</xdr:rowOff>
        </xdr:to>
        <xdr:sp macro="" textlink="">
          <xdr:nvSpPr>
            <xdr:cNvPr id="5192" name="Drop Down 72" hidden="1">
              <a:extLst>
                <a:ext uri="{63B3BB69-23CF-44E3-9099-C40C66FF867C}">
                  <a14:compatExt spid="_x0000_s51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30</xdr:row>
          <xdr:rowOff>9525</xdr:rowOff>
        </xdr:from>
        <xdr:to>
          <xdr:col>11</xdr:col>
          <xdr:colOff>85725</xdr:colOff>
          <xdr:row>31</xdr:row>
          <xdr:rowOff>9525</xdr:rowOff>
        </xdr:to>
        <xdr:sp macro="" textlink="">
          <xdr:nvSpPr>
            <xdr:cNvPr id="5193" name="Drop Down 73" hidden="1">
              <a:extLst>
                <a:ext uri="{63B3BB69-23CF-44E3-9099-C40C66FF867C}">
                  <a14:compatExt spid="_x0000_s51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31</xdr:row>
          <xdr:rowOff>9525</xdr:rowOff>
        </xdr:from>
        <xdr:to>
          <xdr:col>11</xdr:col>
          <xdr:colOff>85725</xdr:colOff>
          <xdr:row>32</xdr:row>
          <xdr:rowOff>9525</xdr:rowOff>
        </xdr:to>
        <xdr:sp macro="" textlink="">
          <xdr:nvSpPr>
            <xdr:cNvPr id="5194" name="Drop Down 74" hidden="1">
              <a:extLst>
                <a:ext uri="{63B3BB69-23CF-44E3-9099-C40C66FF867C}">
                  <a14:compatExt spid="_x0000_s51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32</xdr:row>
          <xdr:rowOff>9525</xdr:rowOff>
        </xdr:from>
        <xdr:to>
          <xdr:col>11</xdr:col>
          <xdr:colOff>85725</xdr:colOff>
          <xdr:row>33</xdr:row>
          <xdr:rowOff>9525</xdr:rowOff>
        </xdr:to>
        <xdr:sp macro="" textlink="">
          <xdr:nvSpPr>
            <xdr:cNvPr id="5195" name="Drop Down 75" hidden="1">
              <a:extLst>
                <a:ext uri="{63B3BB69-23CF-44E3-9099-C40C66FF867C}">
                  <a14:compatExt spid="_x0000_s51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33</xdr:row>
          <xdr:rowOff>9525</xdr:rowOff>
        </xdr:from>
        <xdr:to>
          <xdr:col>11</xdr:col>
          <xdr:colOff>85725</xdr:colOff>
          <xdr:row>34</xdr:row>
          <xdr:rowOff>9525</xdr:rowOff>
        </xdr:to>
        <xdr:sp macro="" textlink="">
          <xdr:nvSpPr>
            <xdr:cNvPr id="5196" name="Drop Down 76" hidden="1">
              <a:extLst>
                <a:ext uri="{63B3BB69-23CF-44E3-9099-C40C66FF867C}">
                  <a14:compatExt spid="_x0000_s51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34</xdr:row>
          <xdr:rowOff>9525</xdr:rowOff>
        </xdr:from>
        <xdr:to>
          <xdr:col>11</xdr:col>
          <xdr:colOff>85725</xdr:colOff>
          <xdr:row>35</xdr:row>
          <xdr:rowOff>9525</xdr:rowOff>
        </xdr:to>
        <xdr:sp macro="" textlink="">
          <xdr:nvSpPr>
            <xdr:cNvPr id="5197" name="Drop Down 77" hidden="1">
              <a:extLst>
                <a:ext uri="{63B3BB69-23CF-44E3-9099-C40C66FF867C}">
                  <a14:compatExt spid="_x0000_s51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35</xdr:row>
          <xdr:rowOff>9525</xdr:rowOff>
        </xdr:from>
        <xdr:to>
          <xdr:col>11</xdr:col>
          <xdr:colOff>85725</xdr:colOff>
          <xdr:row>36</xdr:row>
          <xdr:rowOff>9525</xdr:rowOff>
        </xdr:to>
        <xdr:sp macro="" textlink="">
          <xdr:nvSpPr>
            <xdr:cNvPr id="5198" name="Drop Down 78" hidden="1">
              <a:extLst>
                <a:ext uri="{63B3BB69-23CF-44E3-9099-C40C66FF867C}">
                  <a14:compatExt spid="_x0000_s51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36</xdr:row>
          <xdr:rowOff>9525</xdr:rowOff>
        </xdr:from>
        <xdr:to>
          <xdr:col>11</xdr:col>
          <xdr:colOff>85725</xdr:colOff>
          <xdr:row>37</xdr:row>
          <xdr:rowOff>9525</xdr:rowOff>
        </xdr:to>
        <xdr:sp macro="" textlink="">
          <xdr:nvSpPr>
            <xdr:cNvPr id="5199" name="Drop Down 79" hidden="1">
              <a:extLst>
                <a:ext uri="{63B3BB69-23CF-44E3-9099-C40C66FF867C}">
                  <a14:compatExt spid="_x0000_s51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37</xdr:row>
          <xdr:rowOff>9525</xdr:rowOff>
        </xdr:from>
        <xdr:to>
          <xdr:col>11</xdr:col>
          <xdr:colOff>85725</xdr:colOff>
          <xdr:row>38</xdr:row>
          <xdr:rowOff>9525</xdr:rowOff>
        </xdr:to>
        <xdr:sp macro="" textlink="">
          <xdr:nvSpPr>
            <xdr:cNvPr id="5200" name="Drop Down 80" hidden="1">
              <a:extLst>
                <a:ext uri="{63B3BB69-23CF-44E3-9099-C40C66FF867C}">
                  <a14:compatExt spid="_x0000_s52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38</xdr:row>
          <xdr:rowOff>9525</xdr:rowOff>
        </xdr:from>
        <xdr:to>
          <xdr:col>11</xdr:col>
          <xdr:colOff>85725</xdr:colOff>
          <xdr:row>39</xdr:row>
          <xdr:rowOff>9525</xdr:rowOff>
        </xdr:to>
        <xdr:sp macro="" textlink="">
          <xdr:nvSpPr>
            <xdr:cNvPr id="5201" name="Drop Down 81" hidden="1">
              <a:extLst>
                <a:ext uri="{63B3BB69-23CF-44E3-9099-C40C66FF867C}">
                  <a14:compatExt spid="_x0000_s52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39</xdr:row>
          <xdr:rowOff>9525</xdr:rowOff>
        </xdr:from>
        <xdr:to>
          <xdr:col>11</xdr:col>
          <xdr:colOff>85725</xdr:colOff>
          <xdr:row>40</xdr:row>
          <xdr:rowOff>9525</xdr:rowOff>
        </xdr:to>
        <xdr:sp macro="" textlink="">
          <xdr:nvSpPr>
            <xdr:cNvPr id="5202" name="Drop Down 82" hidden="1">
              <a:extLst>
                <a:ext uri="{63B3BB69-23CF-44E3-9099-C40C66FF867C}">
                  <a14:compatExt spid="_x0000_s52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40</xdr:row>
          <xdr:rowOff>9525</xdr:rowOff>
        </xdr:from>
        <xdr:to>
          <xdr:col>11</xdr:col>
          <xdr:colOff>85725</xdr:colOff>
          <xdr:row>41</xdr:row>
          <xdr:rowOff>9525</xdr:rowOff>
        </xdr:to>
        <xdr:sp macro="" textlink="">
          <xdr:nvSpPr>
            <xdr:cNvPr id="5203" name="Drop Down 83" hidden="1">
              <a:extLst>
                <a:ext uri="{63B3BB69-23CF-44E3-9099-C40C66FF867C}">
                  <a14:compatExt spid="_x0000_s52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41</xdr:row>
          <xdr:rowOff>9525</xdr:rowOff>
        </xdr:from>
        <xdr:to>
          <xdr:col>11</xdr:col>
          <xdr:colOff>85725</xdr:colOff>
          <xdr:row>42</xdr:row>
          <xdr:rowOff>9525</xdr:rowOff>
        </xdr:to>
        <xdr:sp macro="" textlink="">
          <xdr:nvSpPr>
            <xdr:cNvPr id="5204" name="Drop Down 84" hidden="1">
              <a:extLst>
                <a:ext uri="{63B3BB69-23CF-44E3-9099-C40C66FF867C}">
                  <a14:compatExt spid="_x0000_s52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42</xdr:row>
          <xdr:rowOff>9525</xdr:rowOff>
        </xdr:from>
        <xdr:to>
          <xdr:col>11</xdr:col>
          <xdr:colOff>85725</xdr:colOff>
          <xdr:row>43</xdr:row>
          <xdr:rowOff>9525</xdr:rowOff>
        </xdr:to>
        <xdr:sp macro="" textlink="">
          <xdr:nvSpPr>
            <xdr:cNvPr id="5205" name="Drop Down 85" hidden="1">
              <a:extLst>
                <a:ext uri="{63B3BB69-23CF-44E3-9099-C40C66FF867C}">
                  <a14:compatExt spid="_x0000_s52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43</xdr:row>
          <xdr:rowOff>9525</xdr:rowOff>
        </xdr:from>
        <xdr:to>
          <xdr:col>11</xdr:col>
          <xdr:colOff>85725</xdr:colOff>
          <xdr:row>44</xdr:row>
          <xdr:rowOff>9525</xdr:rowOff>
        </xdr:to>
        <xdr:sp macro="" textlink="">
          <xdr:nvSpPr>
            <xdr:cNvPr id="5206" name="Drop Down 86" hidden="1">
              <a:extLst>
                <a:ext uri="{63B3BB69-23CF-44E3-9099-C40C66FF867C}">
                  <a14:compatExt spid="_x0000_s52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44</xdr:row>
          <xdr:rowOff>9525</xdr:rowOff>
        </xdr:from>
        <xdr:to>
          <xdr:col>11</xdr:col>
          <xdr:colOff>85725</xdr:colOff>
          <xdr:row>45</xdr:row>
          <xdr:rowOff>9525</xdr:rowOff>
        </xdr:to>
        <xdr:sp macro="" textlink="">
          <xdr:nvSpPr>
            <xdr:cNvPr id="5207" name="Drop Down 87" hidden="1">
              <a:extLst>
                <a:ext uri="{63B3BB69-23CF-44E3-9099-C40C66FF867C}">
                  <a14:compatExt spid="_x0000_s52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45</xdr:row>
          <xdr:rowOff>9525</xdr:rowOff>
        </xdr:from>
        <xdr:to>
          <xdr:col>11</xdr:col>
          <xdr:colOff>85725</xdr:colOff>
          <xdr:row>46</xdr:row>
          <xdr:rowOff>9525</xdr:rowOff>
        </xdr:to>
        <xdr:sp macro="" textlink="">
          <xdr:nvSpPr>
            <xdr:cNvPr id="5208" name="Drop Down 88" hidden="1">
              <a:extLst>
                <a:ext uri="{63B3BB69-23CF-44E3-9099-C40C66FF867C}">
                  <a14:compatExt spid="_x0000_s52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46</xdr:row>
          <xdr:rowOff>9525</xdr:rowOff>
        </xdr:from>
        <xdr:to>
          <xdr:col>11</xdr:col>
          <xdr:colOff>85725</xdr:colOff>
          <xdr:row>47</xdr:row>
          <xdr:rowOff>9525</xdr:rowOff>
        </xdr:to>
        <xdr:sp macro="" textlink="">
          <xdr:nvSpPr>
            <xdr:cNvPr id="5209" name="Drop Down 89" hidden="1">
              <a:extLst>
                <a:ext uri="{63B3BB69-23CF-44E3-9099-C40C66FF867C}">
                  <a14:compatExt spid="_x0000_s52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47</xdr:row>
          <xdr:rowOff>9525</xdr:rowOff>
        </xdr:from>
        <xdr:to>
          <xdr:col>11</xdr:col>
          <xdr:colOff>85725</xdr:colOff>
          <xdr:row>48</xdr:row>
          <xdr:rowOff>9525</xdr:rowOff>
        </xdr:to>
        <xdr:sp macro="" textlink="">
          <xdr:nvSpPr>
            <xdr:cNvPr id="5210" name="Drop Down 90" hidden="1">
              <a:extLst>
                <a:ext uri="{63B3BB69-23CF-44E3-9099-C40C66FF867C}">
                  <a14:compatExt spid="_x0000_s52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48</xdr:row>
          <xdr:rowOff>9525</xdr:rowOff>
        </xdr:from>
        <xdr:to>
          <xdr:col>11</xdr:col>
          <xdr:colOff>85725</xdr:colOff>
          <xdr:row>49</xdr:row>
          <xdr:rowOff>9525</xdr:rowOff>
        </xdr:to>
        <xdr:sp macro="" textlink="">
          <xdr:nvSpPr>
            <xdr:cNvPr id="5211" name="Drop Down 91" hidden="1">
              <a:extLst>
                <a:ext uri="{63B3BB69-23CF-44E3-9099-C40C66FF867C}">
                  <a14:compatExt spid="_x0000_s52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49</xdr:row>
          <xdr:rowOff>9525</xdr:rowOff>
        </xdr:from>
        <xdr:to>
          <xdr:col>11</xdr:col>
          <xdr:colOff>85725</xdr:colOff>
          <xdr:row>50</xdr:row>
          <xdr:rowOff>9525</xdr:rowOff>
        </xdr:to>
        <xdr:sp macro="" textlink="">
          <xdr:nvSpPr>
            <xdr:cNvPr id="5212" name="Drop Down 92" hidden="1">
              <a:extLst>
                <a:ext uri="{63B3BB69-23CF-44E3-9099-C40C66FF867C}">
                  <a14:compatExt spid="_x0000_s52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50</xdr:row>
          <xdr:rowOff>9525</xdr:rowOff>
        </xdr:from>
        <xdr:to>
          <xdr:col>11</xdr:col>
          <xdr:colOff>85725</xdr:colOff>
          <xdr:row>51</xdr:row>
          <xdr:rowOff>9525</xdr:rowOff>
        </xdr:to>
        <xdr:sp macro="" textlink="">
          <xdr:nvSpPr>
            <xdr:cNvPr id="5213" name="Drop Down 93" hidden="1">
              <a:extLst>
                <a:ext uri="{63B3BB69-23CF-44E3-9099-C40C66FF867C}">
                  <a14:compatExt spid="_x0000_s52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51</xdr:row>
          <xdr:rowOff>9525</xdr:rowOff>
        </xdr:from>
        <xdr:to>
          <xdr:col>11</xdr:col>
          <xdr:colOff>85725</xdr:colOff>
          <xdr:row>52</xdr:row>
          <xdr:rowOff>9525</xdr:rowOff>
        </xdr:to>
        <xdr:sp macro="" textlink="">
          <xdr:nvSpPr>
            <xdr:cNvPr id="5214" name="Drop Down 94" hidden="1">
              <a:extLst>
                <a:ext uri="{63B3BB69-23CF-44E3-9099-C40C66FF867C}">
                  <a14:compatExt spid="_x0000_s52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52</xdr:row>
          <xdr:rowOff>9525</xdr:rowOff>
        </xdr:from>
        <xdr:to>
          <xdr:col>11</xdr:col>
          <xdr:colOff>85725</xdr:colOff>
          <xdr:row>53</xdr:row>
          <xdr:rowOff>9525</xdr:rowOff>
        </xdr:to>
        <xdr:sp macro="" textlink="">
          <xdr:nvSpPr>
            <xdr:cNvPr id="5215" name="Drop Down 95" hidden="1">
              <a:extLst>
                <a:ext uri="{63B3BB69-23CF-44E3-9099-C40C66FF867C}">
                  <a14:compatExt spid="_x0000_s52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53</xdr:row>
          <xdr:rowOff>9525</xdr:rowOff>
        </xdr:from>
        <xdr:to>
          <xdr:col>11</xdr:col>
          <xdr:colOff>85725</xdr:colOff>
          <xdr:row>54</xdr:row>
          <xdr:rowOff>9525</xdr:rowOff>
        </xdr:to>
        <xdr:sp macro="" textlink="">
          <xdr:nvSpPr>
            <xdr:cNvPr id="5216" name="Drop Down 96" hidden="1">
              <a:extLst>
                <a:ext uri="{63B3BB69-23CF-44E3-9099-C40C66FF867C}">
                  <a14:compatExt spid="_x0000_s52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54</xdr:row>
          <xdr:rowOff>9525</xdr:rowOff>
        </xdr:from>
        <xdr:to>
          <xdr:col>11</xdr:col>
          <xdr:colOff>85725</xdr:colOff>
          <xdr:row>55</xdr:row>
          <xdr:rowOff>9525</xdr:rowOff>
        </xdr:to>
        <xdr:sp macro="" textlink="">
          <xdr:nvSpPr>
            <xdr:cNvPr id="5217" name="Drop Down 97" hidden="1">
              <a:extLst>
                <a:ext uri="{63B3BB69-23CF-44E3-9099-C40C66FF867C}">
                  <a14:compatExt spid="_x0000_s52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55</xdr:row>
          <xdr:rowOff>9525</xdr:rowOff>
        </xdr:from>
        <xdr:to>
          <xdr:col>11</xdr:col>
          <xdr:colOff>85725</xdr:colOff>
          <xdr:row>56</xdr:row>
          <xdr:rowOff>9525</xdr:rowOff>
        </xdr:to>
        <xdr:sp macro="" textlink="">
          <xdr:nvSpPr>
            <xdr:cNvPr id="5218" name="Drop Down 98" hidden="1">
              <a:extLst>
                <a:ext uri="{63B3BB69-23CF-44E3-9099-C40C66FF867C}">
                  <a14:compatExt spid="_x0000_s52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56</xdr:row>
          <xdr:rowOff>9525</xdr:rowOff>
        </xdr:from>
        <xdr:to>
          <xdr:col>11</xdr:col>
          <xdr:colOff>85725</xdr:colOff>
          <xdr:row>57</xdr:row>
          <xdr:rowOff>9525</xdr:rowOff>
        </xdr:to>
        <xdr:sp macro="" textlink="">
          <xdr:nvSpPr>
            <xdr:cNvPr id="5219" name="Drop Down 99" hidden="1">
              <a:extLst>
                <a:ext uri="{63B3BB69-23CF-44E3-9099-C40C66FF867C}">
                  <a14:compatExt spid="_x0000_s52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57</xdr:row>
          <xdr:rowOff>9525</xdr:rowOff>
        </xdr:from>
        <xdr:to>
          <xdr:col>11</xdr:col>
          <xdr:colOff>85725</xdr:colOff>
          <xdr:row>58</xdr:row>
          <xdr:rowOff>9525</xdr:rowOff>
        </xdr:to>
        <xdr:sp macro="" textlink="">
          <xdr:nvSpPr>
            <xdr:cNvPr id="5220" name="Drop Down 100" hidden="1">
              <a:extLst>
                <a:ext uri="{63B3BB69-23CF-44E3-9099-C40C66FF867C}">
                  <a14:compatExt spid="_x0000_s52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58</xdr:row>
          <xdr:rowOff>9525</xdr:rowOff>
        </xdr:from>
        <xdr:to>
          <xdr:col>11</xdr:col>
          <xdr:colOff>85725</xdr:colOff>
          <xdr:row>59</xdr:row>
          <xdr:rowOff>9525</xdr:rowOff>
        </xdr:to>
        <xdr:sp macro="" textlink="">
          <xdr:nvSpPr>
            <xdr:cNvPr id="5221" name="Drop Down 101" hidden="1">
              <a:extLst>
                <a:ext uri="{63B3BB69-23CF-44E3-9099-C40C66FF867C}">
                  <a14:compatExt spid="_x0000_s52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59</xdr:row>
          <xdr:rowOff>9525</xdr:rowOff>
        </xdr:from>
        <xdr:to>
          <xdr:col>11</xdr:col>
          <xdr:colOff>85725</xdr:colOff>
          <xdr:row>60</xdr:row>
          <xdr:rowOff>9525</xdr:rowOff>
        </xdr:to>
        <xdr:sp macro="" textlink="">
          <xdr:nvSpPr>
            <xdr:cNvPr id="5222" name="Drop Down 102" hidden="1">
              <a:extLst>
                <a:ext uri="{63B3BB69-23CF-44E3-9099-C40C66FF867C}">
                  <a14:compatExt spid="_x0000_s52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60</xdr:row>
          <xdr:rowOff>9525</xdr:rowOff>
        </xdr:from>
        <xdr:to>
          <xdr:col>11</xdr:col>
          <xdr:colOff>85725</xdr:colOff>
          <xdr:row>61</xdr:row>
          <xdr:rowOff>9525</xdr:rowOff>
        </xdr:to>
        <xdr:sp macro="" textlink="">
          <xdr:nvSpPr>
            <xdr:cNvPr id="5223" name="Drop Down 103" hidden="1">
              <a:extLst>
                <a:ext uri="{63B3BB69-23CF-44E3-9099-C40C66FF867C}">
                  <a14:compatExt spid="_x0000_s52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61</xdr:row>
          <xdr:rowOff>9525</xdr:rowOff>
        </xdr:from>
        <xdr:to>
          <xdr:col>11</xdr:col>
          <xdr:colOff>85725</xdr:colOff>
          <xdr:row>62</xdr:row>
          <xdr:rowOff>9525</xdr:rowOff>
        </xdr:to>
        <xdr:sp macro="" textlink="">
          <xdr:nvSpPr>
            <xdr:cNvPr id="5224" name="Drop Down 104" hidden="1">
              <a:extLst>
                <a:ext uri="{63B3BB69-23CF-44E3-9099-C40C66FF867C}">
                  <a14:compatExt spid="_x0000_s52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62</xdr:row>
          <xdr:rowOff>9525</xdr:rowOff>
        </xdr:from>
        <xdr:to>
          <xdr:col>11</xdr:col>
          <xdr:colOff>85725</xdr:colOff>
          <xdr:row>63</xdr:row>
          <xdr:rowOff>9525</xdr:rowOff>
        </xdr:to>
        <xdr:sp macro="" textlink="">
          <xdr:nvSpPr>
            <xdr:cNvPr id="5225" name="Drop Down 105" hidden="1">
              <a:extLst>
                <a:ext uri="{63B3BB69-23CF-44E3-9099-C40C66FF867C}">
                  <a14:compatExt spid="_x0000_s52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63</xdr:row>
          <xdr:rowOff>9525</xdr:rowOff>
        </xdr:from>
        <xdr:to>
          <xdr:col>11</xdr:col>
          <xdr:colOff>85725</xdr:colOff>
          <xdr:row>64</xdr:row>
          <xdr:rowOff>9525</xdr:rowOff>
        </xdr:to>
        <xdr:sp macro="" textlink="">
          <xdr:nvSpPr>
            <xdr:cNvPr id="5226" name="Drop Down 106" hidden="1">
              <a:extLst>
                <a:ext uri="{63B3BB69-23CF-44E3-9099-C40C66FF867C}">
                  <a14:compatExt spid="_x0000_s52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64</xdr:row>
          <xdr:rowOff>9525</xdr:rowOff>
        </xdr:from>
        <xdr:to>
          <xdr:col>11</xdr:col>
          <xdr:colOff>85725</xdr:colOff>
          <xdr:row>65</xdr:row>
          <xdr:rowOff>9525</xdr:rowOff>
        </xdr:to>
        <xdr:sp macro="" textlink="">
          <xdr:nvSpPr>
            <xdr:cNvPr id="5227" name="Drop Down 107" hidden="1">
              <a:extLst>
                <a:ext uri="{63B3BB69-23CF-44E3-9099-C40C66FF867C}">
                  <a14:compatExt spid="_x0000_s52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65</xdr:row>
          <xdr:rowOff>9525</xdr:rowOff>
        </xdr:from>
        <xdr:to>
          <xdr:col>11</xdr:col>
          <xdr:colOff>85725</xdr:colOff>
          <xdr:row>66</xdr:row>
          <xdr:rowOff>9525</xdr:rowOff>
        </xdr:to>
        <xdr:sp macro="" textlink="">
          <xdr:nvSpPr>
            <xdr:cNvPr id="5228" name="Drop Down 108" hidden="1">
              <a:extLst>
                <a:ext uri="{63B3BB69-23CF-44E3-9099-C40C66FF867C}">
                  <a14:compatExt spid="_x0000_s52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66</xdr:row>
          <xdr:rowOff>9525</xdr:rowOff>
        </xdr:from>
        <xdr:to>
          <xdr:col>11</xdr:col>
          <xdr:colOff>85725</xdr:colOff>
          <xdr:row>67</xdr:row>
          <xdr:rowOff>9525</xdr:rowOff>
        </xdr:to>
        <xdr:sp macro="" textlink="">
          <xdr:nvSpPr>
            <xdr:cNvPr id="5229" name="Drop Down 109" hidden="1">
              <a:extLst>
                <a:ext uri="{63B3BB69-23CF-44E3-9099-C40C66FF867C}">
                  <a14:compatExt spid="_x0000_s52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67</xdr:row>
          <xdr:rowOff>9525</xdr:rowOff>
        </xdr:from>
        <xdr:to>
          <xdr:col>11</xdr:col>
          <xdr:colOff>85725</xdr:colOff>
          <xdr:row>68</xdr:row>
          <xdr:rowOff>9525</xdr:rowOff>
        </xdr:to>
        <xdr:sp macro="" textlink="">
          <xdr:nvSpPr>
            <xdr:cNvPr id="5230" name="Drop Down 110" hidden="1">
              <a:extLst>
                <a:ext uri="{63B3BB69-23CF-44E3-9099-C40C66FF867C}">
                  <a14:compatExt spid="_x0000_s52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xdr:row>
          <xdr:rowOff>19050</xdr:rowOff>
        </xdr:from>
        <xdr:to>
          <xdr:col>14</xdr:col>
          <xdr:colOff>914400</xdr:colOff>
          <xdr:row>20</xdr:row>
          <xdr:rowOff>9525</xdr:rowOff>
        </xdr:to>
        <xdr:sp macro="" textlink="">
          <xdr:nvSpPr>
            <xdr:cNvPr id="5231" name="Drop Down 111" hidden="1">
              <a:extLst>
                <a:ext uri="{63B3BB69-23CF-44E3-9099-C40C66FF867C}">
                  <a14:compatExt spid="_x0000_s5231"/>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209550</xdr:colOff>
      <xdr:row>0</xdr:row>
      <xdr:rowOff>0</xdr:rowOff>
    </xdr:from>
    <xdr:to>
      <xdr:col>1</xdr:col>
      <xdr:colOff>733425</xdr:colOff>
      <xdr:row>3</xdr:row>
      <xdr:rowOff>190500</xdr:rowOff>
    </xdr:to>
    <xdr:pic>
      <xdr:nvPicPr>
        <xdr:cNvPr id="2" name="Grafik 1" descr="facett_hks37_200x200.png"/>
        <xdr:cNvPicPr>
          <a:picLocks noChangeAspect="1"/>
        </xdr:cNvPicPr>
      </xdr:nvPicPr>
      <xdr:blipFill>
        <a:blip xmlns:r="http://schemas.openxmlformats.org/officeDocument/2006/relationships" r:embed="rId1" cstate="print">
          <a:biLevel thresh="50000"/>
        </a:blip>
        <a:stretch>
          <a:fillRect/>
        </a:stretch>
      </xdr:blipFill>
      <xdr:spPr>
        <a:xfrm>
          <a:off x="209550" y="0"/>
          <a:ext cx="790575" cy="7905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0</xdr:col>
      <xdr:colOff>1143000</xdr:colOff>
      <xdr:row>5</xdr:row>
      <xdr:rowOff>66675</xdr:rowOff>
    </xdr:to>
    <xdr:pic>
      <xdr:nvPicPr>
        <xdr:cNvPr id="2" name="Grafik 1" descr="facett_hks37_200x200.png"/>
        <xdr:cNvPicPr>
          <a:picLocks noChangeAspect="1"/>
        </xdr:cNvPicPr>
      </xdr:nvPicPr>
      <xdr:blipFill>
        <a:blip xmlns:r="http://schemas.openxmlformats.org/officeDocument/2006/relationships" r:embed="rId1" cstate="print">
          <a:biLevel thresh="50000"/>
        </a:blip>
        <a:stretch>
          <a:fillRect/>
        </a:stretch>
      </xdr:blipFill>
      <xdr:spPr>
        <a:xfrm>
          <a:off x="152400" y="0"/>
          <a:ext cx="990600" cy="9906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0</xdr:col>
      <xdr:colOff>1143000</xdr:colOff>
      <xdr:row>5</xdr:row>
      <xdr:rowOff>66675</xdr:rowOff>
    </xdr:to>
    <xdr:pic>
      <xdr:nvPicPr>
        <xdr:cNvPr id="2" name="Grafik 1" descr="facett_hks37_200x200.png"/>
        <xdr:cNvPicPr>
          <a:picLocks noChangeAspect="1"/>
        </xdr:cNvPicPr>
      </xdr:nvPicPr>
      <xdr:blipFill>
        <a:blip xmlns:r="http://schemas.openxmlformats.org/officeDocument/2006/relationships" r:embed="rId1" cstate="print">
          <a:biLevel thresh="50000"/>
        </a:blip>
        <a:stretch>
          <a:fillRect/>
        </a:stretch>
      </xdr:blipFill>
      <xdr:spPr>
        <a:xfrm>
          <a:off x="152400" y="0"/>
          <a:ext cx="990600" cy="990600"/>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D52"/>
  <sheetViews>
    <sheetView workbookViewId="0">
      <pane ySplit="1" topLeftCell="A20" activePane="bottomLeft" state="frozen"/>
      <selection pane="bottomLeft" activeCell="C55" sqref="C55"/>
    </sheetView>
  </sheetViews>
  <sheetFormatPr baseColWidth="10" defaultColWidth="11.42578125" defaultRowHeight="12.75" x14ac:dyDescent="0.2"/>
  <cols>
    <col min="1" max="1" width="11.42578125" style="11"/>
    <col min="2" max="2" width="11.42578125" style="12"/>
    <col min="3" max="3" width="119.28515625" style="202" customWidth="1"/>
    <col min="4" max="4" width="14.140625" style="205" customWidth="1"/>
    <col min="5" max="16384" width="11.42578125" style="13"/>
  </cols>
  <sheetData>
    <row r="1" spans="1:4" s="7" customFormat="1" ht="24" customHeight="1" x14ac:dyDescent="0.2">
      <c r="A1" s="5" t="s">
        <v>6</v>
      </c>
      <c r="B1" s="6" t="s">
        <v>7</v>
      </c>
      <c r="C1" s="193" t="s">
        <v>8</v>
      </c>
      <c r="D1" s="203" t="s">
        <v>136</v>
      </c>
    </row>
    <row r="2" spans="1:4" s="10" customFormat="1" ht="51" x14ac:dyDescent="0.2">
      <c r="A2" s="41" t="s">
        <v>17</v>
      </c>
      <c r="B2" s="42">
        <v>41989</v>
      </c>
      <c r="C2" s="194" t="s">
        <v>23</v>
      </c>
      <c r="D2" s="204" t="s">
        <v>137</v>
      </c>
    </row>
    <row r="3" spans="1:4" s="10" customFormat="1" ht="63.75" x14ac:dyDescent="0.2">
      <c r="A3" s="41" t="s">
        <v>19</v>
      </c>
      <c r="B3" s="42">
        <v>42092</v>
      </c>
      <c r="C3" s="194" t="s">
        <v>24</v>
      </c>
      <c r="D3" s="204" t="s">
        <v>137</v>
      </c>
    </row>
    <row r="4" spans="1:4" s="10" customFormat="1" ht="25.5" x14ac:dyDescent="0.2">
      <c r="A4" s="41" t="s">
        <v>20</v>
      </c>
      <c r="B4" s="42">
        <v>42093</v>
      </c>
      <c r="C4" s="195" t="s">
        <v>14</v>
      </c>
      <c r="D4" s="204" t="s">
        <v>137</v>
      </c>
    </row>
    <row r="5" spans="1:4" x14ac:dyDescent="0.2">
      <c r="A5" s="40" t="s">
        <v>25</v>
      </c>
      <c r="B5" s="39">
        <v>42352</v>
      </c>
      <c r="C5" s="195" t="s">
        <v>16</v>
      </c>
      <c r="D5" s="205" t="s">
        <v>137</v>
      </c>
    </row>
    <row r="6" spans="1:4" x14ac:dyDescent="0.2">
      <c r="A6" s="41" t="s">
        <v>26</v>
      </c>
      <c r="B6" s="42">
        <v>42389</v>
      </c>
      <c r="C6" s="194" t="s">
        <v>18</v>
      </c>
      <c r="D6" s="205" t="s">
        <v>137</v>
      </c>
    </row>
    <row r="7" spans="1:4" x14ac:dyDescent="0.2">
      <c r="A7" s="41" t="s">
        <v>27</v>
      </c>
      <c r="B7" s="42">
        <v>42556</v>
      </c>
      <c r="C7" s="194" t="s">
        <v>28</v>
      </c>
      <c r="D7" s="205" t="s">
        <v>137</v>
      </c>
    </row>
    <row r="8" spans="1:4" ht="25.5" x14ac:dyDescent="0.2">
      <c r="A8" s="54"/>
      <c r="B8" s="55"/>
      <c r="C8" s="195" t="s">
        <v>29</v>
      </c>
    </row>
    <row r="9" spans="1:4" s="10" customFormat="1" x14ac:dyDescent="0.2">
      <c r="A9" s="40" t="s">
        <v>30</v>
      </c>
      <c r="B9" s="9">
        <v>42573</v>
      </c>
      <c r="C9" s="196" t="s">
        <v>22</v>
      </c>
      <c r="D9" s="204" t="s">
        <v>137</v>
      </c>
    </row>
    <row r="10" spans="1:4" s="10" customFormat="1" ht="25.5" x14ac:dyDescent="0.2">
      <c r="A10" s="8"/>
      <c r="B10" s="9"/>
      <c r="C10" s="197" t="s">
        <v>31</v>
      </c>
      <c r="D10" s="204"/>
    </row>
    <row r="11" spans="1:4" s="10" customFormat="1" x14ac:dyDescent="0.2">
      <c r="A11" s="21"/>
      <c r="B11" s="20"/>
      <c r="C11" s="198" t="s">
        <v>34</v>
      </c>
      <c r="D11" s="204"/>
    </row>
    <row r="12" spans="1:4" s="10" customFormat="1" x14ac:dyDescent="0.2">
      <c r="A12" s="21"/>
      <c r="B12" s="20"/>
      <c r="C12" s="198" t="s">
        <v>35</v>
      </c>
      <c r="D12" s="204"/>
    </row>
    <row r="13" spans="1:4" s="10" customFormat="1" x14ac:dyDescent="0.2">
      <c r="A13" s="21"/>
      <c r="B13" s="20"/>
      <c r="C13" s="198" t="s">
        <v>36</v>
      </c>
      <c r="D13" s="204"/>
    </row>
    <row r="14" spans="1:4" s="10" customFormat="1" x14ac:dyDescent="0.2">
      <c r="A14" s="8"/>
      <c r="B14" s="9"/>
      <c r="C14" s="198" t="s">
        <v>37</v>
      </c>
      <c r="D14" s="204"/>
    </row>
    <row r="15" spans="1:4" s="10" customFormat="1" x14ac:dyDescent="0.2">
      <c r="A15" s="8"/>
      <c r="B15" s="9"/>
      <c r="C15" s="195" t="s">
        <v>21</v>
      </c>
      <c r="D15" s="204"/>
    </row>
    <row r="16" spans="1:4" s="10" customFormat="1" ht="25.5" x14ac:dyDescent="0.2">
      <c r="A16" s="8"/>
      <c r="B16" s="9">
        <v>42579</v>
      </c>
      <c r="C16" s="195" t="s">
        <v>38</v>
      </c>
      <c r="D16" s="204" t="s">
        <v>137</v>
      </c>
    </row>
    <row r="17" spans="1:4" s="10" customFormat="1" x14ac:dyDescent="0.2">
      <c r="A17" s="8" t="s">
        <v>79</v>
      </c>
      <c r="B17" s="9">
        <v>42589</v>
      </c>
      <c r="C17" s="195" t="s">
        <v>70</v>
      </c>
      <c r="D17" s="204" t="s">
        <v>137</v>
      </c>
    </row>
    <row r="18" spans="1:4" s="10" customFormat="1" x14ac:dyDescent="0.2">
      <c r="A18" s="8"/>
      <c r="B18" s="9"/>
      <c r="C18" s="199" t="s">
        <v>71</v>
      </c>
      <c r="D18" s="204"/>
    </row>
    <row r="19" spans="1:4" s="10" customFormat="1" x14ac:dyDescent="0.2">
      <c r="A19" s="23"/>
      <c r="B19" s="22"/>
      <c r="C19" s="199" t="s">
        <v>72</v>
      </c>
      <c r="D19" s="204"/>
    </row>
    <row r="20" spans="1:4" s="10" customFormat="1" x14ac:dyDescent="0.2">
      <c r="A20" s="8"/>
      <c r="B20" s="9"/>
      <c r="C20" s="200" t="s">
        <v>74</v>
      </c>
      <c r="D20" s="204"/>
    </row>
    <row r="21" spans="1:4" s="10" customFormat="1" x14ac:dyDescent="0.2">
      <c r="A21" s="8"/>
      <c r="B21" s="9"/>
      <c r="C21" s="199" t="s">
        <v>73</v>
      </c>
      <c r="D21" s="204"/>
    </row>
    <row r="22" spans="1:4" s="10" customFormat="1" x14ac:dyDescent="0.2">
      <c r="A22" s="8"/>
      <c r="B22" s="9"/>
      <c r="C22" s="199" t="s">
        <v>76</v>
      </c>
      <c r="D22" s="204"/>
    </row>
    <row r="23" spans="1:4" s="10" customFormat="1" x14ac:dyDescent="0.2">
      <c r="A23" s="8"/>
      <c r="B23" s="9"/>
      <c r="C23" s="199" t="s">
        <v>77</v>
      </c>
      <c r="D23" s="204"/>
    </row>
    <row r="24" spans="1:4" s="10" customFormat="1" x14ac:dyDescent="0.2">
      <c r="A24" s="8"/>
      <c r="B24" s="9"/>
      <c r="C24" s="199" t="s">
        <v>78</v>
      </c>
      <c r="D24" s="204"/>
    </row>
    <row r="25" spans="1:4" s="10" customFormat="1" x14ac:dyDescent="0.2">
      <c r="A25" s="8" t="s">
        <v>88</v>
      </c>
      <c r="B25" s="9">
        <v>42732</v>
      </c>
      <c r="C25" s="195" t="s">
        <v>80</v>
      </c>
      <c r="D25" s="204" t="s">
        <v>137</v>
      </c>
    </row>
    <row r="26" spans="1:4" x14ac:dyDescent="0.2">
      <c r="B26" s="12">
        <v>42733</v>
      </c>
      <c r="C26" s="201" t="s">
        <v>83</v>
      </c>
      <c r="D26" s="205" t="s">
        <v>137</v>
      </c>
    </row>
    <row r="27" spans="1:4" x14ac:dyDescent="0.2">
      <c r="C27" s="201" t="s">
        <v>86</v>
      </c>
    </row>
    <row r="28" spans="1:4" x14ac:dyDescent="0.2">
      <c r="C28" s="201" t="s">
        <v>87</v>
      </c>
    </row>
    <row r="29" spans="1:4" x14ac:dyDescent="0.2">
      <c r="C29" s="201" t="s">
        <v>90</v>
      </c>
    </row>
    <row r="30" spans="1:4" x14ac:dyDescent="0.2">
      <c r="C30" s="201" t="s">
        <v>98</v>
      </c>
    </row>
    <row r="31" spans="1:4" ht="20.25" customHeight="1" x14ac:dyDescent="0.2">
      <c r="A31" s="11" t="s">
        <v>129</v>
      </c>
      <c r="B31" s="12">
        <v>42974</v>
      </c>
      <c r="C31" s="202" t="s">
        <v>130</v>
      </c>
      <c r="D31" s="205" t="s">
        <v>137</v>
      </c>
    </row>
    <row r="32" spans="1:4" x14ac:dyDescent="0.2">
      <c r="C32" s="201" t="s">
        <v>131</v>
      </c>
    </row>
    <row r="33" spans="2:4" ht="17.25" customHeight="1" x14ac:dyDescent="0.2">
      <c r="C33" s="202" t="s">
        <v>132</v>
      </c>
    </row>
    <row r="34" spans="2:4" x14ac:dyDescent="0.2">
      <c r="C34" s="202" t="s">
        <v>133</v>
      </c>
    </row>
    <row r="35" spans="2:4" ht="25.5" x14ac:dyDescent="0.2">
      <c r="C35" s="202" t="s">
        <v>134</v>
      </c>
    </row>
    <row r="36" spans="2:4" ht="25.5" x14ac:dyDescent="0.2">
      <c r="C36" s="202" t="s">
        <v>135</v>
      </c>
    </row>
    <row r="37" spans="2:4" ht="17.25" customHeight="1" x14ac:dyDescent="0.2">
      <c r="C37" s="206" t="s">
        <v>138</v>
      </c>
    </row>
    <row r="38" spans="2:4" x14ac:dyDescent="0.2">
      <c r="C38" s="201" t="s">
        <v>139</v>
      </c>
    </row>
    <row r="39" spans="2:4" ht="25.5" x14ac:dyDescent="0.2">
      <c r="C39" s="201" t="s">
        <v>145</v>
      </c>
    </row>
    <row r="40" spans="2:4" ht="12.75" customHeight="1" x14ac:dyDescent="0.2">
      <c r="C40" s="202" t="s">
        <v>156</v>
      </c>
    </row>
    <row r="41" spans="2:4" x14ac:dyDescent="0.2">
      <c r="C41" s="202" t="s">
        <v>140</v>
      </c>
    </row>
    <row r="42" spans="2:4" x14ac:dyDescent="0.2">
      <c r="C42" s="202" t="s">
        <v>141</v>
      </c>
    </row>
    <row r="43" spans="2:4" x14ac:dyDescent="0.2">
      <c r="C43" s="202" t="s">
        <v>165</v>
      </c>
    </row>
    <row r="44" spans="2:4" ht="25.5" x14ac:dyDescent="0.2">
      <c r="C44" s="202" t="s">
        <v>166</v>
      </c>
    </row>
    <row r="45" spans="2:4" ht="25.5" x14ac:dyDescent="0.2">
      <c r="C45" s="202" t="s">
        <v>172</v>
      </c>
    </row>
    <row r="46" spans="2:4" ht="51" x14ac:dyDescent="0.2">
      <c r="C46" s="202" t="s">
        <v>157</v>
      </c>
    </row>
    <row r="47" spans="2:4" ht="25.5" x14ac:dyDescent="0.2">
      <c r="C47" s="202" t="s">
        <v>158</v>
      </c>
    </row>
    <row r="48" spans="2:4" x14ac:dyDescent="0.2">
      <c r="B48" s="12">
        <v>43068</v>
      </c>
      <c r="C48" s="202" t="s">
        <v>169</v>
      </c>
      <c r="D48" s="205" t="s">
        <v>137</v>
      </c>
    </row>
    <row r="49" spans="2:3" x14ac:dyDescent="0.2">
      <c r="C49" s="202" t="s">
        <v>170</v>
      </c>
    </row>
    <row r="50" spans="2:3" x14ac:dyDescent="0.2">
      <c r="C50" s="202" t="s">
        <v>171</v>
      </c>
    </row>
    <row r="51" spans="2:3" ht="25.5" x14ac:dyDescent="0.2">
      <c r="B51" s="39">
        <v>43069</v>
      </c>
      <c r="C51" s="202" t="s">
        <v>173</v>
      </c>
    </row>
    <row r="52" spans="2:3" ht="25.5" x14ac:dyDescent="0.2">
      <c r="C52" s="202" t="s">
        <v>174</v>
      </c>
    </row>
  </sheetData>
  <sheetProtection algorithmName="SHA-512" hashValue="XH0ykwa5TSZoBWxwP6LLSKTyykPErPYJKj0tus1vdwkeLs/JO2aGXi3P7Aa/g3VFZREPYoGZzbqAJeUISI5GfQ==" saltValue="l741Quu/xBBvN4UymFBOEg==" spinCount="100000" sheet="1" objects="1" scenarios="1" selectLockedCells="1"/>
  <pageMargins left="0.70866141732283472" right="0.70866141732283472" top="0.78740157480314965" bottom="0.78740157480314965" header="0.31496062992125984" footer="0.31496062992125984"/>
  <pageSetup paperSize="9" orientation="landscape" r:id="rId1"/>
  <headerFooter>
    <oddHeader>&amp;C&amp;"Calibri,Fett"&amp;14Dokumentation Buchungsblatt Handkasse</oddHeader>
    <oddFooter>&amp;L&amp;"Calibri,Standard"&amp;7Stand: &amp;D&amp;C&amp;"Calibri,Standard"&amp;7Seite &amp;P von &amp;N&amp;R&amp;"Calibri,Standard"&amp;7Datei: &amp;F</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dimension ref="A1:K291"/>
  <sheetViews>
    <sheetView workbookViewId="0">
      <pane ySplit="1" topLeftCell="A2" activePane="bottomLeft" state="frozen"/>
      <selection pane="bottomLeft" activeCell="A2" sqref="A2"/>
    </sheetView>
  </sheetViews>
  <sheetFormatPr baseColWidth="10" defaultColWidth="11.42578125" defaultRowHeight="12.75" x14ac:dyDescent="0.2"/>
  <cols>
    <col min="1" max="1" width="9.140625" style="2" customWidth="1"/>
    <col min="2" max="2" width="41.42578125" style="3" bestFit="1" customWidth="1"/>
    <col min="3" max="3" width="24.5703125" style="3" customWidth="1"/>
    <col min="4" max="4" width="15.28515625" style="221" customWidth="1"/>
    <col min="5" max="5" width="14" style="222" customWidth="1"/>
    <col min="6" max="6" width="14" style="4" customWidth="1"/>
    <col min="7" max="7" width="29" style="220" customWidth="1"/>
    <col min="8" max="8" width="9.85546875" style="3" customWidth="1"/>
    <col min="9" max="9" width="7" style="3" customWidth="1"/>
    <col min="10" max="10" width="23.7109375" style="3" bestFit="1" customWidth="1"/>
    <col min="11" max="11" width="11.42578125" style="4"/>
    <col min="12" max="16384" width="11.42578125" style="3"/>
  </cols>
  <sheetData>
    <row r="1" spans="1:11" s="14" customFormat="1" ht="36" customHeight="1" x14ac:dyDescent="0.2">
      <c r="A1" s="14" t="s">
        <v>5</v>
      </c>
      <c r="B1" s="15" t="s">
        <v>12</v>
      </c>
      <c r="C1" s="16" t="s">
        <v>13</v>
      </c>
      <c r="D1" s="223" t="s">
        <v>177</v>
      </c>
      <c r="E1" s="224" t="s">
        <v>11</v>
      </c>
      <c r="F1" s="14" t="s">
        <v>15</v>
      </c>
      <c r="G1" s="44" t="s">
        <v>39</v>
      </c>
      <c r="H1" s="19" t="s">
        <v>4</v>
      </c>
      <c r="I1" s="17">
        <v>90009</v>
      </c>
      <c r="J1" s="18" t="s">
        <v>617</v>
      </c>
    </row>
    <row r="2" spans="1:11" x14ac:dyDescent="0.2">
      <c r="A2" s="1">
        <v>1</v>
      </c>
      <c r="B2" s="3" t="s">
        <v>178</v>
      </c>
      <c r="C2" s="3" t="str">
        <f t="shared" ref="C2:C65" si="0">MID(B2,5,100)</f>
        <v>RVV Oberhessen</v>
      </c>
      <c r="D2" s="222" t="str">
        <f t="shared" ref="D2:D65" si="1">IF(LEN($A2)&lt;=4,LEFT(TEXT($A2,"0000"),4),LEFT(TEXT($A2,"000000"),4))</f>
        <v>0001</v>
      </c>
      <c r="E2" s="222" t="str">
        <f>$I$1&amp;$D2</f>
        <v>900090001</v>
      </c>
      <c r="G2" s="4"/>
      <c r="K2" s="3"/>
    </row>
    <row r="3" spans="1:11" x14ac:dyDescent="0.2">
      <c r="A3" s="2">
        <v>2802</v>
      </c>
      <c r="B3" s="3" t="s">
        <v>179</v>
      </c>
      <c r="C3" s="3" t="str">
        <f t="shared" si="0"/>
        <v>KGM Beltershain</v>
      </c>
      <c r="D3" s="222" t="str">
        <f t="shared" si="1"/>
        <v>2802</v>
      </c>
      <c r="E3" s="222" t="str">
        <f t="shared" ref="E3:E66" si="2">$I$1&amp;$D3</f>
        <v>900092802</v>
      </c>
      <c r="F3" s="4" t="s">
        <v>180</v>
      </c>
      <c r="G3" s="4" t="s">
        <v>248</v>
      </c>
      <c r="K3" s="3"/>
    </row>
    <row r="4" spans="1:11" x14ac:dyDescent="0.2">
      <c r="A4" s="2">
        <v>2803</v>
      </c>
      <c r="B4" s="3" t="s">
        <v>181</v>
      </c>
      <c r="C4" s="3" t="str">
        <f t="shared" si="0"/>
        <v>KGM Ettingshausen</v>
      </c>
      <c r="D4" s="222" t="str">
        <f t="shared" si="1"/>
        <v>2803</v>
      </c>
      <c r="E4" s="222" t="str">
        <f t="shared" si="2"/>
        <v>900092803</v>
      </c>
      <c r="F4" s="4" t="s">
        <v>182</v>
      </c>
      <c r="G4" s="4" t="s">
        <v>248</v>
      </c>
      <c r="K4" s="3"/>
    </row>
    <row r="5" spans="1:11" x14ac:dyDescent="0.2">
      <c r="A5" s="2">
        <v>2804</v>
      </c>
      <c r="B5" s="3" t="s">
        <v>183</v>
      </c>
      <c r="C5" s="3" t="str">
        <f t="shared" si="0"/>
        <v>KGM Flensungen</v>
      </c>
      <c r="D5" s="222" t="str">
        <f t="shared" si="1"/>
        <v>2804</v>
      </c>
      <c r="E5" s="222" t="str">
        <f t="shared" si="2"/>
        <v>900092804</v>
      </c>
      <c r="F5" s="4" t="s">
        <v>184</v>
      </c>
      <c r="G5" s="4" t="s">
        <v>248</v>
      </c>
      <c r="K5" s="3"/>
    </row>
    <row r="6" spans="1:11" x14ac:dyDescent="0.2">
      <c r="A6" s="2">
        <v>2805</v>
      </c>
      <c r="B6" s="3" t="s">
        <v>185</v>
      </c>
      <c r="C6" s="3" t="str">
        <f t="shared" si="0"/>
        <v>KGM Freienseen</v>
      </c>
      <c r="D6" s="222" t="str">
        <f t="shared" si="1"/>
        <v>2805</v>
      </c>
      <c r="E6" s="222" t="str">
        <f t="shared" si="2"/>
        <v>900092805</v>
      </c>
      <c r="F6" s="4" t="s">
        <v>186</v>
      </c>
      <c r="G6" s="4" t="s">
        <v>248</v>
      </c>
      <c r="K6" s="3"/>
    </row>
    <row r="7" spans="1:11" x14ac:dyDescent="0.2">
      <c r="A7" s="2">
        <v>2806</v>
      </c>
      <c r="B7" s="3" t="s">
        <v>187</v>
      </c>
      <c r="C7" s="3" t="str">
        <f t="shared" si="0"/>
        <v>KGM Geilshausen</v>
      </c>
      <c r="D7" s="222" t="str">
        <f t="shared" si="1"/>
        <v>2806</v>
      </c>
      <c r="E7" s="222" t="str">
        <f t="shared" si="2"/>
        <v>900092806</v>
      </c>
      <c r="F7" s="4" t="s">
        <v>188</v>
      </c>
      <c r="G7" s="4" t="s">
        <v>248</v>
      </c>
      <c r="K7" s="3"/>
    </row>
    <row r="8" spans="1:11" x14ac:dyDescent="0.2">
      <c r="A8" s="2">
        <v>2807</v>
      </c>
      <c r="B8" s="3" t="s">
        <v>189</v>
      </c>
      <c r="C8" s="3" t="str">
        <f t="shared" si="0"/>
        <v>KGM Groß-Eichen</v>
      </c>
      <c r="D8" s="222" t="str">
        <f t="shared" si="1"/>
        <v>2807</v>
      </c>
      <c r="E8" s="222" t="str">
        <f t="shared" si="2"/>
        <v>900092807</v>
      </c>
      <c r="F8" s="4" t="s">
        <v>190</v>
      </c>
      <c r="G8" s="4" t="s">
        <v>248</v>
      </c>
      <c r="K8" s="3"/>
    </row>
    <row r="9" spans="1:11" x14ac:dyDescent="0.2">
      <c r="A9" s="2">
        <v>2808</v>
      </c>
      <c r="B9" s="3" t="s">
        <v>191</v>
      </c>
      <c r="C9" s="3" t="str">
        <f t="shared" si="0"/>
        <v>KGM Grünberg</v>
      </c>
      <c r="D9" s="222" t="str">
        <f t="shared" si="1"/>
        <v>2808</v>
      </c>
      <c r="E9" s="222" t="str">
        <f t="shared" si="2"/>
        <v>900092808</v>
      </c>
      <c r="F9" s="4" t="s">
        <v>192</v>
      </c>
      <c r="G9" s="4" t="s">
        <v>248</v>
      </c>
      <c r="K9" s="3"/>
    </row>
    <row r="10" spans="1:11" x14ac:dyDescent="0.2">
      <c r="A10" s="2">
        <v>2809</v>
      </c>
      <c r="B10" s="3" t="s">
        <v>193</v>
      </c>
      <c r="C10" s="3" t="str">
        <f t="shared" si="0"/>
        <v>KGM Harbach</v>
      </c>
      <c r="D10" s="222" t="str">
        <f t="shared" si="1"/>
        <v>2809</v>
      </c>
      <c r="E10" s="222" t="str">
        <f t="shared" si="2"/>
        <v>900092809</v>
      </c>
      <c r="F10" s="4" t="s">
        <v>194</v>
      </c>
      <c r="G10" s="4" t="s">
        <v>248</v>
      </c>
      <c r="K10" s="3"/>
    </row>
    <row r="11" spans="1:11" x14ac:dyDescent="0.2">
      <c r="A11" s="2">
        <v>2810</v>
      </c>
      <c r="B11" s="3" t="s">
        <v>195</v>
      </c>
      <c r="C11" s="3" t="str">
        <f t="shared" si="0"/>
        <v>KGM Hattenrod</v>
      </c>
      <c r="D11" s="222" t="str">
        <f t="shared" si="1"/>
        <v>2810</v>
      </c>
      <c r="E11" s="222" t="str">
        <f t="shared" si="2"/>
        <v>900092810</v>
      </c>
      <c r="F11" s="4" t="s">
        <v>196</v>
      </c>
      <c r="G11" s="4" t="s">
        <v>248</v>
      </c>
      <c r="K11" s="3"/>
    </row>
    <row r="12" spans="1:11" x14ac:dyDescent="0.2">
      <c r="A12" s="2">
        <v>2811</v>
      </c>
      <c r="B12" s="3" t="s">
        <v>197</v>
      </c>
      <c r="C12" s="3" t="str">
        <f t="shared" si="0"/>
        <v>KGM Lardenbach</v>
      </c>
      <c r="D12" s="222" t="str">
        <f t="shared" si="1"/>
        <v>2811</v>
      </c>
      <c r="E12" s="222" t="str">
        <f t="shared" si="2"/>
        <v>900092811</v>
      </c>
      <c r="F12" s="4" t="s">
        <v>198</v>
      </c>
      <c r="G12" s="4" t="s">
        <v>248</v>
      </c>
      <c r="K12" s="3"/>
    </row>
    <row r="13" spans="1:11" x14ac:dyDescent="0.2">
      <c r="A13" s="2">
        <v>2812</v>
      </c>
      <c r="B13" s="3" t="s">
        <v>199</v>
      </c>
      <c r="C13" s="3" t="str">
        <f t="shared" si="0"/>
        <v>KGM Laubach</v>
      </c>
      <c r="D13" s="222" t="str">
        <f t="shared" si="1"/>
        <v>2812</v>
      </c>
      <c r="E13" s="222" t="str">
        <f t="shared" si="2"/>
        <v>900092812</v>
      </c>
      <c r="F13" s="4" t="s">
        <v>200</v>
      </c>
      <c r="G13" s="4" t="s">
        <v>248</v>
      </c>
      <c r="K13" s="3"/>
    </row>
    <row r="14" spans="1:11" x14ac:dyDescent="0.2">
      <c r="A14" s="2">
        <v>2813</v>
      </c>
      <c r="B14" s="3" t="s">
        <v>201</v>
      </c>
      <c r="C14" s="3" t="str">
        <f t="shared" si="0"/>
        <v>KGM Lauter</v>
      </c>
      <c r="D14" s="222" t="str">
        <f t="shared" si="1"/>
        <v>2813</v>
      </c>
      <c r="E14" s="222" t="str">
        <f t="shared" si="2"/>
        <v>900092813</v>
      </c>
      <c r="F14" s="4" t="s">
        <v>202</v>
      </c>
      <c r="G14" s="4" t="s">
        <v>248</v>
      </c>
      <c r="K14" s="3"/>
    </row>
    <row r="15" spans="1:11" x14ac:dyDescent="0.2">
      <c r="A15" s="2">
        <v>2814</v>
      </c>
      <c r="B15" s="3" t="s">
        <v>203</v>
      </c>
      <c r="C15" s="3" t="str">
        <f t="shared" si="0"/>
        <v>KGM Londorf</v>
      </c>
      <c r="D15" s="222" t="str">
        <f t="shared" si="1"/>
        <v>2814</v>
      </c>
      <c r="E15" s="222" t="str">
        <f t="shared" si="2"/>
        <v>900092814</v>
      </c>
      <c r="F15" s="4" t="s">
        <v>204</v>
      </c>
      <c r="G15" s="4" t="s">
        <v>248</v>
      </c>
      <c r="K15" s="3"/>
    </row>
    <row r="16" spans="1:11" x14ac:dyDescent="0.2">
      <c r="A16" s="2">
        <v>2815</v>
      </c>
      <c r="B16" s="3" t="s">
        <v>205</v>
      </c>
      <c r="C16" s="3" t="str">
        <f t="shared" si="0"/>
        <v>KGM Lumda</v>
      </c>
      <c r="D16" s="222" t="str">
        <f t="shared" si="1"/>
        <v>2815</v>
      </c>
      <c r="E16" s="222" t="str">
        <f t="shared" si="2"/>
        <v>900092815</v>
      </c>
      <c r="F16" s="4" t="s">
        <v>206</v>
      </c>
      <c r="G16" s="4" t="s">
        <v>248</v>
      </c>
      <c r="K16" s="3"/>
    </row>
    <row r="17" spans="1:11" x14ac:dyDescent="0.2">
      <c r="A17" s="2">
        <v>2816</v>
      </c>
      <c r="B17" s="3" t="s">
        <v>207</v>
      </c>
      <c r="C17" s="3" t="str">
        <f t="shared" si="0"/>
        <v>KGM Merlau</v>
      </c>
      <c r="D17" s="222" t="str">
        <f t="shared" si="1"/>
        <v>2816</v>
      </c>
      <c r="E17" s="222" t="str">
        <f t="shared" si="2"/>
        <v>900092816</v>
      </c>
      <c r="F17" s="4" t="s">
        <v>208</v>
      </c>
      <c r="G17" s="4" t="s">
        <v>248</v>
      </c>
      <c r="K17" s="3"/>
    </row>
    <row r="18" spans="1:11" x14ac:dyDescent="0.2">
      <c r="A18" s="2">
        <v>2817</v>
      </c>
      <c r="B18" s="3" t="s">
        <v>176</v>
      </c>
      <c r="C18" s="3" t="str">
        <f t="shared" si="0"/>
        <v>KGM Münster</v>
      </c>
      <c r="D18" s="222" t="str">
        <f t="shared" si="1"/>
        <v>2817</v>
      </c>
      <c r="E18" s="222" t="str">
        <f t="shared" si="2"/>
        <v>900092817</v>
      </c>
      <c r="F18" s="4" t="s">
        <v>209</v>
      </c>
      <c r="G18" s="4" t="s">
        <v>248</v>
      </c>
      <c r="K18" s="3"/>
    </row>
    <row r="19" spans="1:11" x14ac:dyDescent="0.2">
      <c r="A19" s="2">
        <v>2818</v>
      </c>
      <c r="B19" s="3" t="s">
        <v>210</v>
      </c>
      <c r="C19" s="3" t="str">
        <f t="shared" si="0"/>
        <v>KGM Ober-Bessingen</v>
      </c>
      <c r="D19" s="222" t="str">
        <f t="shared" si="1"/>
        <v>2818</v>
      </c>
      <c r="E19" s="222" t="str">
        <f t="shared" si="2"/>
        <v>900092818</v>
      </c>
      <c r="F19" s="4" t="s">
        <v>211</v>
      </c>
      <c r="G19" s="4" t="s">
        <v>248</v>
      </c>
      <c r="K19" s="3"/>
    </row>
    <row r="20" spans="1:11" x14ac:dyDescent="0.2">
      <c r="A20" s="2">
        <v>2819</v>
      </c>
      <c r="B20" s="3" t="s">
        <v>212</v>
      </c>
      <c r="C20" s="3" t="str">
        <f t="shared" si="0"/>
        <v>KGM Ober-Ohmen</v>
      </c>
      <c r="D20" s="222" t="str">
        <f t="shared" si="1"/>
        <v>2819</v>
      </c>
      <c r="E20" s="222" t="str">
        <f t="shared" si="2"/>
        <v>900092819</v>
      </c>
      <c r="F20" s="4" t="s">
        <v>213</v>
      </c>
      <c r="G20" s="4" t="s">
        <v>248</v>
      </c>
      <c r="K20" s="3"/>
    </row>
    <row r="21" spans="1:11" x14ac:dyDescent="0.2">
      <c r="A21" s="2">
        <v>2820</v>
      </c>
      <c r="B21" s="3" t="s">
        <v>214</v>
      </c>
      <c r="C21" s="3" t="str">
        <f t="shared" si="0"/>
        <v>KGM Odenhausen</v>
      </c>
      <c r="D21" s="222" t="str">
        <f t="shared" si="1"/>
        <v>2820</v>
      </c>
      <c r="E21" s="222" t="str">
        <f t="shared" si="2"/>
        <v>900092820</v>
      </c>
      <c r="F21" s="4" t="s">
        <v>215</v>
      </c>
      <c r="G21" s="4" t="s">
        <v>248</v>
      </c>
      <c r="K21" s="3"/>
    </row>
    <row r="22" spans="1:11" x14ac:dyDescent="0.2">
      <c r="A22" s="1">
        <v>2821</v>
      </c>
      <c r="B22" s="3" t="s">
        <v>216</v>
      </c>
      <c r="C22" s="3" t="str">
        <f t="shared" si="0"/>
        <v>Kirchspiel Odenhausen</v>
      </c>
      <c r="D22" s="222" t="str">
        <f t="shared" si="1"/>
        <v>2821</v>
      </c>
      <c r="E22" s="222" t="str">
        <f t="shared" si="2"/>
        <v>900092821</v>
      </c>
      <c r="F22" s="4" t="s">
        <v>217</v>
      </c>
      <c r="G22" s="4" t="s">
        <v>248</v>
      </c>
      <c r="K22" s="3"/>
    </row>
    <row r="23" spans="1:11" x14ac:dyDescent="0.2">
      <c r="A23" s="2">
        <v>2822</v>
      </c>
      <c r="B23" s="3" t="s">
        <v>218</v>
      </c>
      <c r="C23" s="3" t="str">
        <f t="shared" si="0"/>
        <v>KGM Queckborn</v>
      </c>
      <c r="D23" s="222" t="str">
        <f t="shared" si="1"/>
        <v>2822</v>
      </c>
      <c r="E23" s="222" t="str">
        <f t="shared" si="2"/>
        <v>900092822</v>
      </c>
      <c r="F23" s="4" t="s">
        <v>219</v>
      </c>
      <c r="G23" s="4" t="s">
        <v>248</v>
      </c>
      <c r="K23" s="3"/>
    </row>
    <row r="24" spans="1:11" x14ac:dyDescent="0.2">
      <c r="A24" s="2">
        <v>2823</v>
      </c>
      <c r="B24" s="3" t="s">
        <v>220</v>
      </c>
      <c r="C24" s="3" t="str">
        <f t="shared" si="0"/>
        <v>KGM Röthges</v>
      </c>
      <c r="D24" s="222" t="str">
        <f t="shared" si="1"/>
        <v>2823</v>
      </c>
      <c r="E24" s="222" t="str">
        <f t="shared" si="2"/>
        <v>900092823</v>
      </c>
      <c r="F24" s="4" t="s">
        <v>221</v>
      </c>
      <c r="G24" s="4" t="s">
        <v>248</v>
      </c>
      <c r="K24" s="3"/>
    </row>
    <row r="25" spans="1:11" x14ac:dyDescent="0.2">
      <c r="A25" s="2">
        <v>2824</v>
      </c>
      <c r="B25" s="3" t="s">
        <v>222</v>
      </c>
      <c r="C25" s="3" t="str">
        <f t="shared" si="0"/>
        <v>KGM Ruppertsburg</v>
      </c>
      <c r="D25" s="222" t="str">
        <f t="shared" si="1"/>
        <v>2824</v>
      </c>
      <c r="E25" s="222" t="str">
        <f t="shared" si="2"/>
        <v>900092824</v>
      </c>
      <c r="F25" s="4" t="s">
        <v>223</v>
      </c>
      <c r="G25" s="4" t="s">
        <v>248</v>
      </c>
      <c r="K25" s="3"/>
    </row>
    <row r="26" spans="1:11" x14ac:dyDescent="0.2">
      <c r="A26" s="2">
        <v>2825</v>
      </c>
      <c r="B26" s="3" t="s">
        <v>224</v>
      </c>
      <c r="C26" s="3" t="str">
        <f t="shared" si="0"/>
        <v>KGM Rüddingshausen</v>
      </c>
      <c r="D26" s="222" t="str">
        <f t="shared" si="1"/>
        <v>2825</v>
      </c>
      <c r="E26" s="222" t="str">
        <f t="shared" si="2"/>
        <v>900092825</v>
      </c>
      <c r="F26" s="4" t="s">
        <v>225</v>
      </c>
      <c r="G26" s="4" t="s">
        <v>248</v>
      </c>
      <c r="K26" s="3"/>
    </row>
    <row r="27" spans="1:11" x14ac:dyDescent="0.2">
      <c r="A27" s="2">
        <v>2826</v>
      </c>
      <c r="B27" s="3" t="s">
        <v>226</v>
      </c>
      <c r="C27" s="3" t="str">
        <f t="shared" si="0"/>
        <v>KGM Sellnrod</v>
      </c>
      <c r="D27" s="222" t="str">
        <f t="shared" si="1"/>
        <v>2826</v>
      </c>
      <c r="E27" s="222" t="str">
        <f t="shared" si="2"/>
        <v>900092826</v>
      </c>
      <c r="F27" s="4" t="s">
        <v>227</v>
      </c>
      <c r="G27" s="4" t="s">
        <v>248</v>
      </c>
      <c r="K27" s="3"/>
    </row>
    <row r="28" spans="1:11" x14ac:dyDescent="0.2">
      <c r="A28" s="2">
        <v>2827</v>
      </c>
      <c r="B28" s="3" t="s">
        <v>228</v>
      </c>
      <c r="C28" s="3" t="str">
        <f t="shared" si="0"/>
        <v>KGM Stangenrod-Lehnheim</v>
      </c>
      <c r="D28" s="222" t="str">
        <f t="shared" si="1"/>
        <v>2827</v>
      </c>
      <c r="E28" s="222" t="str">
        <f t="shared" si="2"/>
        <v>900092827</v>
      </c>
      <c r="F28" s="4" t="s">
        <v>229</v>
      </c>
      <c r="G28" s="4" t="s">
        <v>248</v>
      </c>
      <c r="K28" s="3"/>
    </row>
    <row r="29" spans="1:11" x14ac:dyDescent="0.2">
      <c r="A29" s="2">
        <v>2828</v>
      </c>
      <c r="B29" s="3" t="s">
        <v>230</v>
      </c>
      <c r="C29" s="3" t="str">
        <f t="shared" si="0"/>
        <v>KGM Weickartshain</v>
      </c>
      <c r="D29" s="222" t="str">
        <f t="shared" si="1"/>
        <v>2828</v>
      </c>
      <c r="E29" s="222" t="str">
        <f t="shared" si="2"/>
        <v>900092828</v>
      </c>
      <c r="F29" s="4" t="s">
        <v>231</v>
      </c>
      <c r="G29" s="4" t="s">
        <v>248</v>
      </c>
      <c r="K29" s="3"/>
    </row>
    <row r="30" spans="1:11" x14ac:dyDescent="0.2">
      <c r="A30" s="2">
        <v>2829</v>
      </c>
      <c r="B30" s="3" t="s">
        <v>232</v>
      </c>
      <c r="C30" s="3" t="str">
        <f t="shared" si="0"/>
        <v>KGM Weitershain</v>
      </c>
      <c r="D30" s="222" t="str">
        <f t="shared" si="1"/>
        <v>2829</v>
      </c>
      <c r="E30" s="222" t="str">
        <f t="shared" si="2"/>
        <v>900092829</v>
      </c>
      <c r="F30" s="4" t="s">
        <v>233</v>
      </c>
      <c r="G30" s="4" t="s">
        <v>248</v>
      </c>
      <c r="K30" s="3"/>
    </row>
    <row r="31" spans="1:11" x14ac:dyDescent="0.2">
      <c r="A31" s="2">
        <v>2830</v>
      </c>
      <c r="B31" s="3" t="s">
        <v>234</v>
      </c>
      <c r="C31" s="3" t="str">
        <f t="shared" si="0"/>
        <v>KGM Wetterfeld</v>
      </c>
      <c r="D31" s="222" t="str">
        <f t="shared" si="1"/>
        <v>2830</v>
      </c>
      <c r="E31" s="222" t="str">
        <f t="shared" si="2"/>
        <v>900092830</v>
      </c>
      <c r="F31" s="4" t="s">
        <v>235</v>
      </c>
      <c r="G31" s="4" t="s">
        <v>248</v>
      </c>
      <c r="K31" s="3"/>
    </row>
    <row r="32" spans="1:11" x14ac:dyDescent="0.2">
      <c r="A32" s="2">
        <v>2831</v>
      </c>
      <c r="B32" s="3" t="s">
        <v>236</v>
      </c>
      <c r="C32" s="3" t="str">
        <f t="shared" si="0"/>
        <v>KGM Wirberg</v>
      </c>
      <c r="D32" s="222" t="str">
        <f t="shared" si="1"/>
        <v>2831</v>
      </c>
      <c r="E32" s="222" t="str">
        <f t="shared" si="2"/>
        <v>900092831</v>
      </c>
      <c r="F32" s="4" t="s">
        <v>237</v>
      </c>
      <c r="G32" s="4" t="s">
        <v>248</v>
      </c>
      <c r="K32" s="3"/>
    </row>
    <row r="33" spans="1:11" x14ac:dyDescent="0.2">
      <c r="A33" s="2">
        <v>2832</v>
      </c>
      <c r="B33" s="3" t="s">
        <v>238</v>
      </c>
      <c r="C33" s="3" t="str">
        <f t="shared" si="0"/>
        <v>KGM Ilsdorf</v>
      </c>
      <c r="D33" s="222" t="str">
        <f t="shared" si="1"/>
        <v>2832</v>
      </c>
      <c r="E33" s="222" t="str">
        <f t="shared" si="2"/>
        <v>900092832</v>
      </c>
      <c r="F33" s="4" t="s">
        <v>239</v>
      </c>
      <c r="G33" s="4" t="s">
        <v>248</v>
      </c>
      <c r="K33" s="3"/>
    </row>
    <row r="34" spans="1:11" x14ac:dyDescent="0.2">
      <c r="A34" s="2">
        <v>2833</v>
      </c>
      <c r="B34" s="3" t="s">
        <v>240</v>
      </c>
      <c r="C34" s="3" t="str">
        <f t="shared" si="0"/>
        <v>KGM Stockhausen</v>
      </c>
      <c r="D34" s="222" t="str">
        <f t="shared" si="1"/>
        <v>2833</v>
      </c>
      <c r="E34" s="222" t="str">
        <f t="shared" si="2"/>
        <v>900092833</v>
      </c>
      <c r="F34" s="4" t="s">
        <v>241</v>
      </c>
      <c r="G34" s="4" t="s">
        <v>248</v>
      </c>
      <c r="K34" s="3"/>
    </row>
    <row r="35" spans="1:11" x14ac:dyDescent="0.2">
      <c r="A35" s="2">
        <v>2834</v>
      </c>
      <c r="B35" s="3" t="s">
        <v>242</v>
      </c>
      <c r="C35" s="3" t="str">
        <f t="shared" si="0"/>
        <v>KGM Ruppertenrod</v>
      </c>
      <c r="D35" s="222" t="str">
        <f t="shared" si="1"/>
        <v>2834</v>
      </c>
      <c r="E35" s="222" t="str">
        <f t="shared" si="2"/>
        <v>900092834</v>
      </c>
      <c r="F35" s="4" t="s">
        <v>243</v>
      </c>
      <c r="G35" s="4" t="s">
        <v>248</v>
      </c>
      <c r="K35" s="3"/>
    </row>
    <row r="36" spans="1:11" x14ac:dyDescent="0.2">
      <c r="A36" s="2">
        <v>2835</v>
      </c>
      <c r="B36" s="3" t="s">
        <v>244</v>
      </c>
      <c r="C36" s="3" t="str">
        <f t="shared" si="0"/>
        <v>KGM Unter-Seibertenrod</v>
      </c>
      <c r="D36" s="222" t="str">
        <f t="shared" si="1"/>
        <v>2835</v>
      </c>
      <c r="E36" s="222" t="str">
        <f t="shared" si="2"/>
        <v>900092835</v>
      </c>
      <c r="F36" s="4" t="s">
        <v>245</v>
      </c>
      <c r="G36" s="4" t="s">
        <v>248</v>
      </c>
      <c r="K36" s="3"/>
    </row>
    <row r="37" spans="1:11" x14ac:dyDescent="0.2">
      <c r="A37" s="2">
        <v>2836</v>
      </c>
      <c r="B37" s="3" t="s">
        <v>246</v>
      </c>
      <c r="C37" s="3" t="str">
        <f t="shared" si="0"/>
        <v>KGM Gonterskirchen</v>
      </c>
      <c r="D37" s="222" t="str">
        <f t="shared" si="1"/>
        <v>2836</v>
      </c>
      <c r="E37" s="222" t="str">
        <f t="shared" si="2"/>
        <v>900092836</v>
      </c>
      <c r="F37" s="4" t="s">
        <v>247</v>
      </c>
      <c r="G37" s="4" t="s">
        <v>248</v>
      </c>
      <c r="K37" s="3"/>
    </row>
    <row r="38" spans="1:11" x14ac:dyDescent="0.2">
      <c r="A38" s="2">
        <v>2898</v>
      </c>
      <c r="B38" s="3" t="s">
        <v>248</v>
      </c>
      <c r="C38" s="3" t="str">
        <f t="shared" si="0"/>
        <v>Dekanat Grünberg</v>
      </c>
      <c r="D38" s="222" t="str">
        <f t="shared" si="1"/>
        <v>2898</v>
      </c>
      <c r="E38" s="222" t="str">
        <f t="shared" si="2"/>
        <v>900092898</v>
      </c>
      <c r="F38" s="4" t="s">
        <v>249</v>
      </c>
      <c r="G38" s="4" t="s">
        <v>248</v>
      </c>
      <c r="K38" s="3"/>
    </row>
    <row r="39" spans="1:11" x14ac:dyDescent="0.2">
      <c r="A39" s="2">
        <v>3202</v>
      </c>
      <c r="B39" s="3" t="s">
        <v>250</v>
      </c>
      <c r="C39" s="3" t="str">
        <f t="shared" si="0"/>
        <v>KGM Bellersheim</v>
      </c>
      <c r="D39" s="222" t="str">
        <f t="shared" si="1"/>
        <v>3202</v>
      </c>
      <c r="E39" s="222" t="str">
        <f t="shared" si="2"/>
        <v>900093202</v>
      </c>
      <c r="F39" s="4" t="s">
        <v>251</v>
      </c>
      <c r="G39" s="4" t="s">
        <v>288</v>
      </c>
      <c r="K39" s="3"/>
    </row>
    <row r="40" spans="1:11" x14ac:dyDescent="0.2">
      <c r="A40" s="2">
        <v>3204</v>
      </c>
      <c r="B40" s="3" t="s">
        <v>252</v>
      </c>
      <c r="C40" s="3" t="str">
        <f t="shared" si="0"/>
        <v>KGM Bettenhausen</v>
      </c>
      <c r="D40" s="222" t="str">
        <f t="shared" si="1"/>
        <v>3204</v>
      </c>
      <c r="E40" s="222" t="str">
        <f t="shared" si="2"/>
        <v>900093204</v>
      </c>
      <c r="F40" s="4" t="s">
        <v>253</v>
      </c>
      <c r="G40" s="4" t="s">
        <v>288</v>
      </c>
      <c r="K40" s="3"/>
    </row>
    <row r="41" spans="1:11" x14ac:dyDescent="0.2">
      <c r="A41" s="2">
        <v>3205</v>
      </c>
      <c r="B41" s="3" t="s">
        <v>254</v>
      </c>
      <c r="C41" s="3" t="str">
        <f t="shared" si="0"/>
        <v>KGM Birklar</v>
      </c>
      <c r="D41" s="222" t="str">
        <f t="shared" si="1"/>
        <v>3205</v>
      </c>
      <c r="E41" s="222" t="str">
        <f t="shared" si="2"/>
        <v>900093205</v>
      </c>
      <c r="F41" s="4" t="s">
        <v>255</v>
      </c>
      <c r="G41" s="4" t="s">
        <v>288</v>
      </c>
      <c r="K41" s="3"/>
    </row>
    <row r="42" spans="1:11" x14ac:dyDescent="0.2">
      <c r="A42" s="2">
        <v>3206</v>
      </c>
      <c r="B42" s="3" t="s">
        <v>256</v>
      </c>
      <c r="C42" s="3" t="str">
        <f t="shared" si="0"/>
        <v>KGM Dorf-Güll</v>
      </c>
      <c r="D42" s="222" t="str">
        <f t="shared" si="1"/>
        <v>3206</v>
      </c>
      <c r="E42" s="222" t="str">
        <f t="shared" si="2"/>
        <v>900093206</v>
      </c>
      <c r="F42" s="4" t="s">
        <v>257</v>
      </c>
      <c r="G42" s="4" t="s">
        <v>288</v>
      </c>
      <c r="K42" s="3"/>
    </row>
    <row r="43" spans="1:11" x14ac:dyDescent="0.2">
      <c r="A43" s="2">
        <v>3207</v>
      </c>
      <c r="B43" s="3" t="s">
        <v>258</v>
      </c>
      <c r="C43" s="3" t="str">
        <f t="shared" si="0"/>
        <v>KGM Eberstadt /Kloster Arnsbg.</v>
      </c>
      <c r="D43" s="222" t="str">
        <f t="shared" si="1"/>
        <v>3207</v>
      </c>
      <c r="E43" s="222" t="str">
        <f t="shared" si="2"/>
        <v>900093207</v>
      </c>
      <c r="F43" s="4" t="s">
        <v>259</v>
      </c>
      <c r="G43" s="4" t="s">
        <v>288</v>
      </c>
      <c r="K43" s="3"/>
    </row>
    <row r="44" spans="1:11" x14ac:dyDescent="0.2">
      <c r="A44" s="2">
        <v>3208</v>
      </c>
      <c r="B44" s="3" t="s">
        <v>260</v>
      </c>
      <c r="C44" s="3" t="str">
        <f t="shared" si="0"/>
        <v>KGM Grüningen</v>
      </c>
      <c r="D44" s="222" t="str">
        <f t="shared" si="1"/>
        <v>3208</v>
      </c>
      <c r="E44" s="222" t="str">
        <f t="shared" si="2"/>
        <v>900093208</v>
      </c>
      <c r="F44" s="4" t="s">
        <v>261</v>
      </c>
      <c r="G44" s="4" t="s">
        <v>288</v>
      </c>
      <c r="K44" s="3"/>
    </row>
    <row r="45" spans="1:11" x14ac:dyDescent="0.2">
      <c r="A45" s="2">
        <v>3209</v>
      </c>
      <c r="B45" s="3" t="s">
        <v>262</v>
      </c>
      <c r="C45" s="3" t="str">
        <f t="shared" si="0"/>
        <v>KGM Holzheim</v>
      </c>
      <c r="D45" s="222" t="str">
        <f t="shared" si="1"/>
        <v>3209</v>
      </c>
      <c r="E45" s="222" t="str">
        <f t="shared" si="2"/>
        <v>900093209</v>
      </c>
      <c r="F45" s="4" t="s">
        <v>263</v>
      </c>
      <c r="G45" s="4" t="s">
        <v>288</v>
      </c>
      <c r="K45" s="3"/>
    </row>
    <row r="46" spans="1:11" x14ac:dyDescent="0.2">
      <c r="A46" s="2">
        <v>3210</v>
      </c>
      <c r="B46" s="3" t="s">
        <v>264</v>
      </c>
      <c r="C46" s="3" t="str">
        <f t="shared" si="0"/>
        <v>KGM Hungen</v>
      </c>
      <c r="D46" s="222" t="str">
        <f t="shared" si="1"/>
        <v>3210</v>
      </c>
      <c r="E46" s="222" t="str">
        <f t="shared" si="2"/>
        <v>900093210</v>
      </c>
      <c r="F46" s="4" t="s">
        <v>265</v>
      </c>
      <c r="G46" s="4" t="s">
        <v>288</v>
      </c>
      <c r="K46" s="3"/>
    </row>
    <row r="47" spans="1:11" x14ac:dyDescent="0.2">
      <c r="A47" s="2">
        <v>3211</v>
      </c>
      <c r="B47" s="3" t="s">
        <v>266</v>
      </c>
      <c r="C47" s="3" t="str">
        <f t="shared" si="0"/>
        <v>KGM Langd</v>
      </c>
      <c r="D47" s="222" t="str">
        <f t="shared" si="1"/>
        <v>3211</v>
      </c>
      <c r="E47" s="222" t="str">
        <f t="shared" si="2"/>
        <v>900093211</v>
      </c>
      <c r="F47" s="4" t="s">
        <v>267</v>
      </c>
      <c r="G47" s="4" t="s">
        <v>288</v>
      </c>
      <c r="K47" s="3"/>
    </row>
    <row r="48" spans="1:11" x14ac:dyDescent="0.2">
      <c r="A48" s="2">
        <v>3212</v>
      </c>
      <c r="B48" s="3" t="s">
        <v>268</v>
      </c>
      <c r="C48" s="3" t="str">
        <f t="shared" si="0"/>
        <v>KGM Langsdorf</v>
      </c>
      <c r="D48" s="222" t="str">
        <f t="shared" si="1"/>
        <v>3212</v>
      </c>
      <c r="E48" s="222" t="str">
        <f t="shared" si="2"/>
        <v>900093212</v>
      </c>
      <c r="F48" s="4" t="s">
        <v>269</v>
      </c>
      <c r="G48" s="4" t="s">
        <v>288</v>
      </c>
      <c r="K48" s="3"/>
    </row>
    <row r="49" spans="1:11" x14ac:dyDescent="0.2">
      <c r="A49" s="2">
        <v>3213</v>
      </c>
      <c r="B49" s="3" t="s">
        <v>270</v>
      </c>
      <c r="C49" s="3" t="str">
        <f t="shared" si="0"/>
        <v>Marienstiftsgemeinde Lich</v>
      </c>
      <c r="D49" s="222" t="str">
        <f t="shared" si="1"/>
        <v>3213</v>
      </c>
      <c r="E49" s="222" t="str">
        <f t="shared" si="2"/>
        <v>900093213</v>
      </c>
      <c r="F49" s="4" t="s">
        <v>271</v>
      </c>
      <c r="G49" s="4" t="s">
        <v>288</v>
      </c>
      <c r="K49" s="3"/>
    </row>
    <row r="50" spans="1:11" x14ac:dyDescent="0.2">
      <c r="A50" s="2">
        <v>3215</v>
      </c>
      <c r="B50" s="3" t="s">
        <v>272</v>
      </c>
      <c r="C50" s="3" t="str">
        <f t="shared" si="0"/>
        <v>KGM Muschenheim</v>
      </c>
      <c r="D50" s="222" t="str">
        <f t="shared" si="1"/>
        <v>3215</v>
      </c>
      <c r="E50" s="222" t="str">
        <f t="shared" si="2"/>
        <v>900093215</v>
      </c>
      <c r="F50" s="4" t="s">
        <v>273</v>
      </c>
      <c r="G50" s="4" t="s">
        <v>288</v>
      </c>
      <c r="K50" s="3"/>
    </row>
    <row r="51" spans="1:11" x14ac:dyDescent="0.2">
      <c r="A51" s="2">
        <v>3216</v>
      </c>
      <c r="B51" s="3" t="s">
        <v>274</v>
      </c>
      <c r="C51" s="3" t="str">
        <f t="shared" si="0"/>
        <v>KGM Nieder-Bessingen</v>
      </c>
      <c r="D51" s="222" t="str">
        <f t="shared" si="1"/>
        <v>3216</v>
      </c>
      <c r="E51" s="222" t="str">
        <f t="shared" si="2"/>
        <v>900093216</v>
      </c>
      <c r="F51" s="4" t="s">
        <v>275</v>
      </c>
      <c r="G51" s="4" t="s">
        <v>288</v>
      </c>
      <c r="K51" s="3"/>
    </row>
    <row r="52" spans="1:11" x14ac:dyDescent="0.2">
      <c r="A52" s="2">
        <v>3217</v>
      </c>
      <c r="B52" s="3" t="s">
        <v>276</v>
      </c>
      <c r="C52" s="3" t="str">
        <f t="shared" si="0"/>
        <v>KGM Nonnenroth</v>
      </c>
      <c r="D52" s="222" t="str">
        <f t="shared" si="1"/>
        <v>3217</v>
      </c>
      <c r="E52" s="222" t="str">
        <f t="shared" si="2"/>
        <v>900093217</v>
      </c>
      <c r="F52" s="4" t="s">
        <v>277</v>
      </c>
      <c r="G52" s="4" t="s">
        <v>288</v>
      </c>
      <c r="K52" s="3"/>
    </row>
    <row r="53" spans="1:11" x14ac:dyDescent="0.2">
      <c r="A53" s="2">
        <v>3218</v>
      </c>
      <c r="B53" s="3" t="s">
        <v>278</v>
      </c>
      <c r="C53" s="3" t="str">
        <f t="shared" si="0"/>
        <v>KGM Obbornhofen</v>
      </c>
      <c r="D53" s="222" t="str">
        <f t="shared" si="1"/>
        <v>3218</v>
      </c>
      <c r="E53" s="222" t="str">
        <f t="shared" si="2"/>
        <v>900093218</v>
      </c>
      <c r="F53" s="4" t="s">
        <v>279</v>
      </c>
      <c r="G53" s="4" t="s">
        <v>288</v>
      </c>
      <c r="K53" s="3"/>
    </row>
    <row r="54" spans="1:11" x14ac:dyDescent="0.2">
      <c r="A54" s="2">
        <v>3219</v>
      </c>
      <c r="B54" s="3" t="s">
        <v>280</v>
      </c>
      <c r="C54" s="3" t="str">
        <f t="shared" si="0"/>
        <v>KGM Rodheim-Horloff</v>
      </c>
      <c r="D54" s="222" t="str">
        <f t="shared" si="1"/>
        <v>3219</v>
      </c>
      <c r="E54" s="222" t="str">
        <f t="shared" si="2"/>
        <v>900093219</v>
      </c>
      <c r="F54" s="4" t="s">
        <v>281</v>
      </c>
      <c r="G54" s="4" t="s">
        <v>288</v>
      </c>
      <c r="K54" s="3"/>
    </row>
    <row r="55" spans="1:11" x14ac:dyDescent="0.2">
      <c r="A55" s="2">
        <v>3220</v>
      </c>
      <c r="B55" s="3" t="s">
        <v>282</v>
      </c>
      <c r="C55" s="3" t="str">
        <f t="shared" si="0"/>
        <v>KGM Trais-Horloff</v>
      </c>
      <c r="D55" s="222" t="str">
        <f t="shared" si="1"/>
        <v>3220</v>
      </c>
      <c r="E55" s="222" t="str">
        <f t="shared" si="2"/>
        <v>900093220</v>
      </c>
      <c r="F55" s="4" t="s">
        <v>283</v>
      </c>
      <c r="G55" s="4" t="s">
        <v>288</v>
      </c>
      <c r="K55" s="3"/>
    </row>
    <row r="56" spans="1:11" x14ac:dyDescent="0.2">
      <c r="A56" s="2">
        <v>3222</v>
      </c>
      <c r="B56" s="3" t="s">
        <v>284</v>
      </c>
      <c r="C56" s="3" t="str">
        <f t="shared" si="0"/>
        <v>KGM Villingen</v>
      </c>
      <c r="D56" s="222" t="str">
        <f t="shared" si="1"/>
        <v>3222</v>
      </c>
      <c r="E56" s="222" t="str">
        <f t="shared" si="2"/>
        <v>900093222</v>
      </c>
      <c r="F56" s="4" t="s">
        <v>285</v>
      </c>
      <c r="G56" s="4" t="s">
        <v>288</v>
      </c>
      <c r="K56" s="3"/>
    </row>
    <row r="57" spans="1:11" x14ac:dyDescent="0.2">
      <c r="A57" s="2">
        <v>3224</v>
      </c>
      <c r="B57" s="3" t="s">
        <v>286</v>
      </c>
      <c r="C57" s="3" t="str">
        <f t="shared" si="0"/>
        <v>KGM Wohnbach</v>
      </c>
      <c r="D57" s="222" t="str">
        <f t="shared" si="1"/>
        <v>3224</v>
      </c>
      <c r="E57" s="222" t="str">
        <f t="shared" si="2"/>
        <v>900093224</v>
      </c>
      <c r="F57" s="4" t="s">
        <v>287</v>
      </c>
      <c r="G57" s="4" t="s">
        <v>288</v>
      </c>
      <c r="K57" s="3"/>
    </row>
    <row r="58" spans="1:11" x14ac:dyDescent="0.2">
      <c r="A58" s="2">
        <v>3298</v>
      </c>
      <c r="B58" s="3" t="s">
        <v>288</v>
      </c>
      <c r="C58" s="3" t="str">
        <f t="shared" si="0"/>
        <v>Dekanat Hungen</v>
      </c>
      <c r="D58" s="222" t="str">
        <f t="shared" si="1"/>
        <v>3298</v>
      </c>
      <c r="E58" s="222" t="str">
        <f t="shared" si="2"/>
        <v>900093298</v>
      </c>
      <c r="F58" s="4" t="s">
        <v>289</v>
      </c>
      <c r="G58" s="4" t="s">
        <v>288</v>
      </c>
      <c r="K58" s="3"/>
    </row>
    <row r="59" spans="1:11" x14ac:dyDescent="0.2">
      <c r="A59" s="2">
        <v>3502</v>
      </c>
      <c r="B59" s="3" t="s">
        <v>290</v>
      </c>
      <c r="C59" s="3" t="str">
        <f t="shared" si="0"/>
        <v>KGM Allendorf a. d. Lumda</v>
      </c>
      <c r="D59" s="222" t="str">
        <f t="shared" si="1"/>
        <v>3502</v>
      </c>
      <c r="E59" s="222" t="str">
        <f t="shared" si="2"/>
        <v>900093502</v>
      </c>
      <c r="F59" s="4" t="s">
        <v>291</v>
      </c>
      <c r="G59" s="4" t="s">
        <v>321</v>
      </c>
      <c r="K59" s="3"/>
    </row>
    <row r="60" spans="1:11" x14ac:dyDescent="0.2">
      <c r="A60" s="2">
        <v>3503</v>
      </c>
      <c r="B60" s="3" t="s">
        <v>292</v>
      </c>
      <c r="C60" s="3" t="str">
        <f t="shared" si="0"/>
        <v>KGM Alten-Buseck</v>
      </c>
      <c r="D60" s="222" t="str">
        <f t="shared" si="1"/>
        <v>3503</v>
      </c>
      <c r="E60" s="222" t="str">
        <f t="shared" si="2"/>
        <v>900093503</v>
      </c>
      <c r="F60" s="4" t="s">
        <v>293</v>
      </c>
      <c r="G60" s="4" t="s">
        <v>321</v>
      </c>
      <c r="K60" s="3"/>
    </row>
    <row r="61" spans="1:11" x14ac:dyDescent="0.2">
      <c r="A61" s="2">
        <v>3504</v>
      </c>
      <c r="B61" s="3" t="s">
        <v>294</v>
      </c>
      <c r="C61" s="3" t="str">
        <f t="shared" si="0"/>
        <v>KGM Annerod</v>
      </c>
      <c r="D61" s="222" t="str">
        <f t="shared" si="1"/>
        <v>3504</v>
      </c>
      <c r="E61" s="222" t="str">
        <f t="shared" si="2"/>
        <v>900093504</v>
      </c>
      <c r="F61" s="4" t="s">
        <v>295</v>
      </c>
      <c r="G61" s="4" t="s">
        <v>321</v>
      </c>
      <c r="K61" s="3"/>
    </row>
    <row r="62" spans="1:11" x14ac:dyDescent="0.2">
      <c r="A62" s="2">
        <v>3505</v>
      </c>
      <c r="B62" s="3" t="s">
        <v>296</v>
      </c>
      <c r="C62" s="3" t="str">
        <f t="shared" si="0"/>
        <v>KGM Beuern</v>
      </c>
      <c r="D62" s="222" t="str">
        <f t="shared" si="1"/>
        <v>3505</v>
      </c>
      <c r="E62" s="222" t="str">
        <f t="shared" si="2"/>
        <v>900093505</v>
      </c>
      <c r="F62" s="4" t="s">
        <v>297</v>
      </c>
      <c r="G62" s="4" t="s">
        <v>321</v>
      </c>
      <c r="K62" s="3"/>
    </row>
    <row r="63" spans="1:11" x14ac:dyDescent="0.2">
      <c r="A63" s="2">
        <v>3506</v>
      </c>
      <c r="B63" s="3" t="s">
        <v>298</v>
      </c>
      <c r="C63" s="3" t="str">
        <f t="shared" si="0"/>
        <v>KGM Burkhardsfelden</v>
      </c>
      <c r="D63" s="222" t="str">
        <f t="shared" si="1"/>
        <v>3506</v>
      </c>
      <c r="E63" s="222" t="str">
        <f t="shared" si="2"/>
        <v>900093506</v>
      </c>
      <c r="F63" s="4" t="s">
        <v>299</v>
      </c>
      <c r="G63" s="4" t="s">
        <v>321</v>
      </c>
      <c r="K63" s="3"/>
    </row>
    <row r="64" spans="1:11" x14ac:dyDescent="0.2">
      <c r="A64" s="2">
        <v>3508</v>
      </c>
      <c r="B64" s="3" t="s">
        <v>300</v>
      </c>
      <c r="C64" s="3" t="str">
        <f t="shared" si="0"/>
        <v>KGM Großen-Buseck</v>
      </c>
      <c r="D64" s="222" t="str">
        <f t="shared" si="1"/>
        <v>3508</v>
      </c>
      <c r="E64" s="222" t="str">
        <f t="shared" si="2"/>
        <v>900093508</v>
      </c>
      <c r="F64" s="4" t="s">
        <v>301</v>
      </c>
      <c r="G64" s="4" t="s">
        <v>321</v>
      </c>
      <c r="K64" s="3"/>
    </row>
    <row r="65" spans="1:11" x14ac:dyDescent="0.2">
      <c r="A65" s="2">
        <v>3509</v>
      </c>
      <c r="B65" s="3" t="s">
        <v>302</v>
      </c>
      <c r="C65" s="3" t="str">
        <f t="shared" si="0"/>
        <v>KGM Kirchberg</v>
      </c>
      <c r="D65" s="222" t="str">
        <f t="shared" si="1"/>
        <v>3509</v>
      </c>
      <c r="E65" s="222" t="str">
        <f t="shared" si="2"/>
        <v>900093509</v>
      </c>
      <c r="F65" s="4" t="s">
        <v>303</v>
      </c>
      <c r="G65" s="4" t="s">
        <v>321</v>
      </c>
      <c r="K65" s="3"/>
    </row>
    <row r="66" spans="1:11" x14ac:dyDescent="0.2">
      <c r="A66" s="2">
        <v>3510</v>
      </c>
      <c r="B66" s="3" t="s">
        <v>304</v>
      </c>
      <c r="C66" s="3" t="str">
        <f t="shared" ref="C66:C129" si="3">MID(B66,5,100)</f>
        <v>KGM Lindenstruth</v>
      </c>
      <c r="D66" s="222" t="str">
        <f t="shared" ref="D66:D129" si="4">IF(LEN($A66)&lt;=4,LEFT(TEXT($A66,"0000"),4),LEFT(TEXT($A66,"000000"),4))</f>
        <v>3510</v>
      </c>
      <c r="E66" s="222" t="str">
        <f t="shared" si="2"/>
        <v>900093510</v>
      </c>
      <c r="F66" s="4" t="s">
        <v>305</v>
      </c>
      <c r="G66" s="4" t="s">
        <v>321</v>
      </c>
      <c r="K66" s="3"/>
    </row>
    <row r="67" spans="1:11" x14ac:dyDescent="0.2">
      <c r="A67" s="2">
        <v>3511</v>
      </c>
      <c r="B67" s="3" t="s">
        <v>306</v>
      </c>
      <c r="C67" s="3" t="str">
        <f t="shared" si="3"/>
        <v>KGM Lollar</v>
      </c>
      <c r="D67" s="222" t="str">
        <f t="shared" si="4"/>
        <v>3511</v>
      </c>
      <c r="E67" s="222" t="str">
        <f t="shared" ref="E67:E130" si="5">$I$1&amp;$D67</f>
        <v>900093511</v>
      </c>
      <c r="F67" s="4" t="s">
        <v>307</v>
      </c>
      <c r="G67" s="4" t="s">
        <v>321</v>
      </c>
      <c r="K67" s="3"/>
    </row>
    <row r="68" spans="1:11" x14ac:dyDescent="0.2">
      <c r="A68" s="2">
        <v>3512</v>
      </c>
      <c r="B68" s="3" t="s">
        <v>618</v>
      </c>
      <c r="C68" s="3" t="str">
        <f t="shared" si="3"/>
        <v>KGM Oppenrod</v>
      </c>
      <c r="D68" s="222" t="str">
        <f t="shared" si="4"/>
        <v>3512</v>
      </c>
      <c r="E68" s="222" t="str">
        <f t="shared" si="5"/>
        <v>900093512</v>
      </c>
      <c r="F68" s="4" t="s">
        <v>308</v>
      </c>
      <c r="G68" s="4" t="s">
        <v>321</v>
      </c>
      <c r="K68" s="3"/>
    </row>
    <row r="69" spans="1:11" x14ac:dyDescent="0.2">
      <c r="A69" s="2">
        <v>3513</v>
      </c>
      <c r="B69" s="3" t="s">
        <v>309</v>
      </c>
      <c r="C69" s="3" t="str">
        <f t="shared" si="3"/>
        <v>KGM Reiskirchen</v>
      </c>
      <c r="D69" s="222" t="str">
        <f t="shared" si="4"/>
        <v>3513</v>
      </c>
      <c r="E69" s="222" t="str">
        <f t="shared" si="5"/>
        <v>900093513</v>
      </c>
      <c r="F69" s="4" t="s">
        <v>310</v>
      </c>
      <c r="G69" s="4" t="s">
        <v>321</v>
      </c>
      <c r="K69" s="3"/>
    </row>
    <row r="70" spans="1:11" x14ac:dyDescent="0.2">
      <c r="A70" s="2">
        <v>3514</v>
      </c>
      <c r="B70" s="3" t="s">
        <v>311</v>
      </c>
      <c r="C70" s="3" t="str">
        <f t="shared" si="3"/>
        <v>KGM Rödgen</v>
      </c>
      <c r="D70" s="222" t="str">
        <f t="shared" si="4"/>
        <v>3514</v>
      </c>
      <c r="E70" s="222" t="str">
        <f t="shared" si="5"/>
        <v>900093514</v>
      </c>
      <c r="F70" s="4" t="s">
        <v>312</v>
      </c>
      <c r="G70" s="4" t="s">
        <v>321</v>
      </c>
      <c r="K70" s="3"/>
    </row>
    <row r="71" spans="1:11" x14ac:dyDescent="0.2">
      <c r="A71" s="2">
        <v>3515</v>
      </c>
      <c r="B71" s="3" t="s">
        <v>313</v>
      </c>
      <c r="C71" s="3" t="str">
        <f t="shared" si="3"/>
        <v>KGM Treis a. d. Lumda</v>
      </c>
      <c r="D71" s="222" t="str">
        <f t="shared" si="4"/>
        <v>3515</v>
      </c>
      <c r="E71" s="222" t="str">
        <f t="shared" si="5"/>
        <v>900093515</v>
      </c>
      <c r="F71" s="4" t="s">
        <v>314</v>
      </c>
      <c r="G71" s="4" t="s">
        <v>321</v>
      </c>
      <c r="K71" s="3"/>
    </row>
    <row r="72" spans="1:11" x14ac:dyDescent="0.2">
      <c r="A72" s="2">
        <v>3516</v>
      </c>
      <c r="B72" s="3" t="s">
        <v>315</v>
      </c>
      <c r="C72" s="3" t="str">
        <f t="shared" si="3"/>
        <v>KGM Veitsberg-Saasen</v>
      </c>
      <c r="D72" s="222" t="str">
        <f t="shared" si="4"/>
        <v>3516</v>
      </c>
      <c r="E72" s="222" t="str">
        <f t="shared" si="5"/>
        <v>900093516</v>
      </c>
      <c r="F72" s="4" t="s">
        <v>316</v>
      </c>
      <c r="G72" s="4" t="s">
        <v>321</v>
      </c>
      <c r="K72" s="3"/>
    </row>
    <row r="73" spans="1:11" x14ac:dyDescent="0.2">
      <c r="A73" s="2">
        <v>3517</v>
      </c>
      <c r="B73" s="3" t="s">
        <v>317</v>
      </c>
      <c r="C73" s="3" t="str">
        <f t="shared" si="3"/>
        <v>KGM Winnerod-Bersrod</v>
      </c>
      <c r="D73" s="222" t="str">
        <f t="shared" si="4"/>
        <v>3517</v>
      </c>
      <c r="E73" s="222" t="str">
        <f t="shared" si="5"/>
        <v>900093517</v>
      </c>
      <c r="F73" s="4" t="s">
        <v>318</v>
      </c>
      <c r="G73" s="4" t="s">
        <v>321</v>
      </c>
      <c r="K73" s="3"/>
    </row>
    <row r="74" spans="1:11" x14ac:dyDescent="0.2">
      <c r="A74" s="2">
        <v>3518</v>
      </c>
      <c r="B74" s="3" t="s">
        <v>319</v>
      </c>
      <c r="C74" s="3" t="str">
        <f t="shared" si="3"/>
        <v>KGM Ruttershausen</v>
      </c>
      <c r="D74" s="222" t="str">
        <f t="shared" si="4"/>
        <v>3518</v>
      </c>
      <c r="E74" s="222" t="str">
        <f t="shared" si="5"/>
        <v>900093518</v>
      </c>
      <c r="F74" s="4" t="s">
        <v>320</v>
      </c>
      <c r="G74" s="4" t="s">
        <v>321</v>
      </c>
      <c r="K74" s="3"/>
    </row>
    <row r="75" spans="1:11" x14ac:dyDescent="0.2">
      <c r="A75" s="2">
        <v>3598</v>
      </c>
      <c r="B75" s="3" t="s">
        <v>321</v>
      </c>
      <c r="C75" s="3" t="str">
        <f t="shared" si="3"/>
        <v>Dekanat Kirchberg</v>
      </c>
      <c r="D75" s="222" t="str">
        <f t="shared" si="4"/>
        <v>3598</v>
      </c>
      <c r="E75" s="222" t="str">
        <f t="shared" si="5"/>
        <v>900093598</v>
      </c>
      <c r="F75" s="4" t="s">
        <v>322</v>
      </c>
      <c r="G75" s="4" t="s">
        <v>321</v>
      </c>
      <c r="K75" s="3"/>
    </row>
    <row r="76" spans="1:11" x14ac:dyDescent="0.2">
      <c r="A76" s="2">
        <v>6202</v>
      </c>
      <c r="B76" s="3" t="s">
        <v>323</v>
      </c>
      <c r="C76" s="3" t="str">
        <f t="shared" si="3"/>
        <v>KGM Allmenrod</v>
      </c>
      <c r="D76" s="222" t="str">
        <f t="shared" si="4"/>
        <v>6202</v>
      </c>
      <c r="E76" s="222" t="str">
        <f t="shared" si="5"/>
        <v>900096202</v>
      </c>
      <c r="F76" s="4" t="s">
        <v>324</v>
      </c>
      <c r="G76" s="4" t="s">
        <v>394</v>
      </c>
      <c r="K76" s="3"/>
    </row>
    <row r="77" spans="1:11" x14ac:dyDescent="0.2">
      <c r="A77" s="2">
        <v>6203</v>
      </c>
      <c r="B77" s="3" t="s">
        <v>325</v>
      </c>
      <c r="C77" s="3" t="str">
        <f t="shared" si="3"/>
        <v>KGM Altenschlirf</v>
      </c>
      <c r="D77" s="222" t="str">
        <f t="shared" si="4"/>
        <v>6203</v>
      </c>
      <c r="E77" s="222" t="str">
        <f t="shared" si="5"/>
        <v>900096203</v>
      </c>
      <c r="F77" s="4" t="s">
        <v>326</v>
      </c>
      <c r="G77" s="4" t="s">
        <v>394</v>
      </c>
      <c r="K77" s="3"/>
    </row>
    <row r="78" spans="1:11" x14ac:dyDescent="0.2">
      <c r="A78" s="2">
        <v>6204</v>
      </c>
      <c r="B78" s="3" t="s">
        <v>327</v>
      </c>
      <c r="C78" s="3" t="str">
        <f t="shared" si="3"/>
        <v>KGM Angersbach</v>
      </c>
      <c r="D78" s="222" t="str">
        <f t="shared" si="4"/>
        <v>6204</v>
      </c>
      <c r="E78" s="222" t="str">
        <f t="shared" si="5"/>
        <v>900096204</v>
      </c>
      <c r="F78" s="4" t="s">
        <v>328</v>
      </c>
      <c r="G78" s="4" t="s">
        <v>394</v>
      </c>
      <c r="K78" s="3"/>
    </row>
    <row r="79" spans="1:11" x14ac:dyDescent="0.2">
      <c r="A79" s="2">
        <v>6205</v>
      </c>
      <c r="B79" s="3" t="s">
        <v>329</v>
      </c>
      <c r="C79" s="3" t="str">
        <f t="shared" si="3"/>
        <v>KGM Blitzenrod</v>
      </c>
      <c r="D79" s="222" t="str">
        <f t="shared" si="4"/>
        <v>6205</v>
      </c>
      <c r="E79" s="222" t="str">
        <f t="shared" si="5"/>
        <v>900096205</v>
      </c>
      <c r="F79" s="4" t="s">
        <v>330</v>
      </c>
      <c r="G79" s="4" t="s">
        <v>394</v>
      </c>
      <c r="K79" s="3"/>
    </row>
    <row r="80" spans="1:11" x14ac:dyDescent="0.2">
      <c r="A80" s="2">
        <v>6206</v>
      </c>
      <c r="B80" s="3" t="s">
        <v>331</v>
      </c>
      <c r="C80" s="3" t="str">
        <f t="shared" si="3"/>
        <v>KGM Crainfeld</v>
      </c>
      <c r="D80" s="222" t="str">
        <f t="shared" si="4"/>
        <v>6206</v>
      </c>
      <c r="E80" s="222" t="str">
        <f t="shared" si="5"/>
        <v>900096206</v>
      </c>
      <c r="F80" s="4" t="s">
        <v>332</v>
      </c>
      <c r="G80" s="4" t="s">
        <v>394</v>
      </c>
      <c r="K80" s="3"/>
    </row>
    <row r="81" spans="1:11" x14ac:dyDescent="0.2">
      <c r="A81" s="2">
        <v>6207</v>
      </c>
      <c r="B81" s="3" t="s">
        <v>333</v>
      </c>
      <c r="C81" s="3" t="str">
        <f t="shared" si="3"/>
        <v>KGM Dirlammen</v>
      </c>
      <c r="D81" s="222" t="str">
        <f t="shared" si="4"/>
        <v>6207</v>
      </c>
      <c r="E81" s="222" t="str">
        <f t="shared" si="5"/>
        <v>900096207</v>
      </c>
      <c r="F81" s="4" t="s">
        <v>334</v>
      </c>
      <c r="G81" s="4" t="s">
        <v>394</v>
      </c>
      <c r="K81" s="3"/>
    </row>
    <row r="82" spans="1:11" x14ac:dyDescent="0.2">
      <c r="A82" s="2">
        <v>6208</v>
      </c>
      <c r="B82" s="3" t="s">
        <v>335</v>
      </c>
      <c r="C82" s="3" t="str">
        <f t="shared" si="3"/>
        <v>KGM Engelrod</v>
      </c>
      <c r="D82" s="222" t="str">
        <f t="shared" si="4"/>
        <v>6208</v>
      </c>
      <c r="E82" s="222" t="str">
        <f t="shared" si="5"/>
        <v>900096208</v>
      </c>
      <c r="F82" s="4" t="s">
        <v>336</v>
      </c>
      <c r="G82" s="4" t="s">
        <v>394</v>
      </c>
      <c r="K82" s="3"/>
    </row>
    <row r="83" spans="1:11" x14ac:dyDescent="0.2">
      <c r="A83" s="2">
        <v>6209</v>
      </c>
      <c r="B83" s="3" t="s">
        <v>337</v>
      </c>
      <c r="C83" s="3" t="str">
        <f t="shared" si="3"/>
        <v>KGM Fraurombach</v>
      </c>
      <c r="D83" s="222" t="str">
        <f t="shared" si="4"/>
        <v>6209</v>
      </c>
      <c r="E83" s="222" t="str">
        <f t="shared" si="5"/>
        <v>900096209</v>
      </c>
      <c r="F83" s="4" t="s">
        <v>338</v>
      </c>
      <c r="G83" s="4" t="s">
        <v>394</v>
      </c>
      <c r="K83" s="3"/>
    </row>
    <row r="84" spans="1:11" x14ac:dyDescent="0.2">
      <c r="A84" s="2">
        <v>6210</v>
      </c>
      <c r="B84" s="3" t="s">
        <v>339</v>
      </c>
      <c r="C84" s="3" t="str">
        <f t="shared" si="3"/>
        <v>KGM Freiensteinau</v>
      </c>
      <c r="D84" s="222" t="str">
        <f t="shared" si="4"/>
        <v>6210</v>
      </c>
      <c r="E84" s="222" t="str">
        <f t="shared" si="5"/>
        <v>900096210</v>
      </c>
      <c r="F84" s="4" t="s">
        <v>340</v>
      </c>
      <c r="G84" s="4" t="s">
        <v>394</v>
      </c>
      <c r="K84" s="3"/>
    </row>
    <row r="85" spans="1:11" x14ac:dyDescent="0.2">
      <c r="A85" s="2">
        <v>6211</v>
      </c>
      <c r="B85" s="3" t="s">
        <v>341</v>
      </c>
      <c r="C85" s="3" t="str">
        <f t="shared" si="3"/>
        <v>KGM Frischborn</v>
      </c>
      <c r="D85" s="222" t="str">
        <f t="shared" si="4"/>
        <v>6211</v>
      </c>
      <c r="E85" s="222" t="str">
        <f t="shared" si="5"/>
        <v>900096211</v>
      </c>
      <c r="F85" s="4" t="s">
        <v>342</v>
      </c>
      <c r="G85" s="4" t="s">
        <v>394</v>
      </c>
      <c r="K85" s="3"/>
    </row>
    <row r="86" spans="1:11" x14ac:dyDescent="0.2">
      <c r="A86" s="2">
        <v>6213</v>
      </c>
      <c r="B86" s="3" t="s">
        <v>343</v>
      </c>
      <c r="C86" s="3" t="str">
        <f t="shared" si="3"/>
        <v>KGM Hartershausen</v>
      </c>
      <c r="D86" s="222" t="str">
        <f t="shared" si="4"/>
        <v>6213</v>
      </c>
      <c r="E86" s="222" t="str">
        <f t="shared" si="5"/>
        <v>900096213</v>
      </c>
      <c r="F86" s="4" t="s">
        <v>344</v>
      </c>
      <c r="G86" s="4" t="s">
        <v>394</v>
      </c>
      <c r="K86" s="3"/>
    </row>
    <row r="87" spans="1:11" x14ac:dyDescent="0.2">
      <c r="A87" s="2">
        <v>6214</v>
      </c>
      <c r="B87" s="3" t="s">
        <v>345</v>
      </c>
      <c r="C87" s="3" t="str">
        <f t="shared" si="3"/>
        <v>KGM Heblos</v>
      </c>
      <c r="D87" s="222" t="str">
        <f t="shared" si="4"/>
        <v>6214</v>
      </c>
      <c r="E87" s="222" t="str">
        <f t="shared" si="5"/>
        <v>900096214</v>
      </c>
      <c r="F87" s="4" t="s">
        <v>346</v>
      </c>
      <c r="G87" s="4" t="s">
        <v>394</v>
      </c>
      <c r="K87" s="3"/>
    </row>
    <row r="88" spans="1:11" x14ac:dyDescent="0.2">
      <c r="A88" s="2">
        <v>6216</v>
      </c>
      <c r="B88" s="3" t="s">
        <v>347</v>
      </c>
      <c r="C88" s="3" t="str">
        <f t="shared" si="3"/>
        <v>KGM Herbstein</v>
      </c>
      <c r="D88" s="222" t="str">
        <f t="shared" si="4"/>
        <v>6216</v>
      </c>
      <c r="E88" s="222" t="str">
        <f t="shared" si="5"/>
        <v>900096216</v>
      </c>
      <c r="F88" s="4" t="s">
        <v>348</v>
      </c>
      <c r="G88" s="4" t="s">
        <v>394</v>
      </c>
      <c r="K88" s="3"/>
    </row>
    <row r="89" spans="1:11" x14ac:dyDescent="0.2">
      <c r="A89" s="2">
        <v>6217</v>
      </c>
      <c r="B89" s="3" t="s">
        <v>349</v>
      </c>
      <c r="C89" s="3" t="str">
        <f t="shared" si="3"/>
        <v>KGM Herchenhain</v>
      </c>
      <c r="D89" s="222" t="str">
        <f t="shared" si="4"/>
        <v>6217</v>
      </c>
      <c r="E89" s="222" t="str">
        <f t="shared" si="5"/>
        <v>900096217</v>
      </c>
      <c r="F89" s="4" t="s">
        <v>350</v>
      </c>
      <c r="G89" s="4" t="s">
        <v>394</v>
      </c>
      <c r="K89" s="3"/>
    </row>
    <row r="90" spans="1:11" x14ac:dyDescent="0.2">
      <c r="A90" s="2">
        <v>6218</v>
      </c>
      <c r="B90" s="3" t="s">
        <v>351</v>
      </c>
      <c r="C90" s="3" t="str">
        <f t="shared" si="3"/>
        <v>KGM Hopfmannsfeld</v>
      </c>
      <c r="D90" s="222" t="str">
        <f t="shared" si="4"/>
        <v>6218</v>
      </c>
      <c r="E90" s="222" t="str">
        <f t="shared" si="5"/>
        <v>900096218</v>
      </c>
      <c r="F90" s="4" t="s">
        <v>352</v>
      </c>
      <c r="G90" s="4" t="s">
        <v>394</v>
      </c>
      <c r="K90" s="3"/>
    </row>
    <row r="91" spans="1:11" x14ac:dyDescent="0.2">
      <c r="A91" s="2">
        <v>6219</v>
      </c>
      <c r="B91" s="3" t="s">
        <v>353</v>
      </c>
      <c r="C91" s="3" t="str">
        <f t="shared" si="3"/>
        <v>KGM Hutzdorf</v>
      </c>
      <c r="D91" s="222" t="str">
        <f t="shared" si="4"/>
        <v>6219</v>
      </c>
      <c r="E91" s="222" t="str">
        <f t="shared" si="5"/>
        <v>900096219</v>
      </c>
      <c r="F91" s="4" t="s">
        <v>354</v>
      </c>
      <c r="G91" s="4" t="s">
        <v>394</v>
      </c>
      <c r="K91" s="3"/>
    </row>
    <row r="92" spans="1:11" x14ac:dyDescent="0.2">
      <c r="A92" s="2">
        <v>6220</v>
      </c>
      <c r="B92" s="3" t="s">
        <v>355</v>
      </c>
      <c r="C92" s="3" t="str">
        <f t="shared" si="3"/>
        <v>KGM Ilbeshausen</v>
      </c>
      <c r="D92" s="222" t="str">
        <f t="shared" si="4"/>
        <v>6220</v>
      </c>
      <c r="E92" s="222" t="str">
        <f t="shared" si="5"/>
        <v>900096220</v>
      </c>
      <c r="F92" s="4" t="s">
        <v>356</v>
      </c>
      <c r="G92" s="4" t="s">
        <v>394</v>
      </c>
      <c r="K92" s="3"/>
    </row>
    <row r="93" spans="1:11" x14ac:dyDescent="0.2">
      <c r="A93" s="2">
        <v>6221</v>
      </c>
      <c r="B93" s="3" t="s">
        <v>357</v>
      </c>
      <c r="C93" s="3" t="str">
        <f t="shared" si="3"/>
        <v>KGM Kreutzersgrund</v>
      </c>
      <c r="D93" s="222" t="str">
        <f t="shared" si="4"/>
        <v>6221</v>
      </c>
      <c r="E93" s="222" t="str">
        <f t="shared" si="5"/>
        <v>900096221</v>
      </c>
      <c r="F93" s="4" t="s">
        <v>358</v>
      </c>
      <c r="G93" s="4" t="s">
        <v>394</v>
      </c>
      <c r="K93" s="3"/>
    </row>
    <row r="94" spans="1:11" x14ac:dyDescent="0.2">
      <c r="A94" s="2">
        <v>6222</v>
      </c>
      <c r="B94" s="3" t="s">
        <v>359</v>
      </c>
      <c r="C94" s="3" t="str">
        <f t="shared" si="3"/>
        <v>KGM Landenhausen</v>
      </c>
      <c r="D94" s="222" t="str">
        <f t="shared" si="4"/>
        <v>6222</v>
      </c>
      <c r="E94" s="222" t="str">
        <f t="shared" si="5"/>
        <v>900096222</v>
      </c>
      <c r="F94" s="4" t="s">
        <v>360</v>
      </c>
      <c r="G94" s="4" t="s">
        <v>394</v>
      </c>
      <c r="K94" s="3"/>
    </row>
    <row r="95" spans="1:11" x14ac:dyDescent="0.2">
      <c r="A95" s="2">
        <v>6223</v>
      </c>
      <c r="B95" s="3" t="s">
        <v>361</v>
      </c>
      <c r="C95" s="3" t="str">
        <f t="shared" si="3"/>
        <v>KGM Lanzenhain</v>
      </c>
      <c r="D95" s="222" t="str">
        <f t="shared" si="4"/>
        <v>6223</v>
      </c>
      <c r="E95" s="222" t="str">
        <f t="shared" si="5"/>
        <v>900096223</v>
      </c>
      <c r="F95" s="4" t="s">
        <v>362</v>
      </c>
      <c r="G95" s="4" t="s">
        <v>394</v>
      </c>
      <c r="K95" s="3"/>
    </row>
    <row r="96" spans="1:11" x14ac:dyDescent="0.2">
      <c r="A96" s="2">
        <v>6224</v>
      </c>
      <c r="B96" s="3" t="s">
        <v>363</v>
      </c>
      <c r="C96" s="3" t="str">
        <f t="shared" si="3"/>
        <v>KGM Lauterbach</v>
      </c>
      <c r="D96" s="222" t="str">
        <f t="shared" si="4"/>
        <v>6224</v>
      </c>
      <c r="E96" s="222" t="str">
        <f t="shared" si="5"/>
        <v>900096224</v>
      </c>
      <c r="F96" s="4" t="s">
        <v>364</v>
      </c>
      <c r="G96" s="4" t="s">
        <v>394</v>
      </c>
      <c r="K96" s="3"/>
    </row>
    <row r="97" spans="1:11" x14ac:dyDescent="0.2">
      <c r="A97" s="2">
        <v>6225</v>
      </c>
      <c r="B97" s="3" t="s">
        <v>365</v>
      </c>
      <c r="C97" s="3" t="str">
        <f t="shared" si="3"/>
        <v>KGM Maar</v>
      </c>
      <c r="D97" s="222" t="str">
        <f t="shared" si="4"/>
        <v>6225</v>
      </c>
      <c r="E97" s="222" t="str">
        <f t="shared" si="5"/>
        <v>900096225</v>
      </c>
      <c r="F97" s="4" t="s">
        <v>366</v>
      </c>
      <c r="G97" s="4" t="s">
        <v>394</v>
      </c>
      <c r="K97" s="3"/>
    </row>
    <row r="98" spans="1:11" x14ac:dyDescent="0.2">
      <c r="A98" s="2">
        <v>6226</v>
      </c>
      <c r="B98" s="3" t="s">
        <v>367</v>
      </c>
      <c r="C98" s="3" t="str">
        <f t="shared" si="3"/>
        <v>KGM Meiches</v>
      </c>
      <c r="D98" s="222" t="str">
        <f t="shared" si="4"/>
        <v>6226</v>
      </c>
      <c r="E98" s="222" t="str">
        <f t="shared" si="5"/>
        <v>900096226</v>
      </c>
      <c r="F98" s="4" t="s">
        <v>368</v>
      </c>
      <c r="G98" s="4" t="s">
        <v>394</v>
      </c>
      <c r="K98" s="3"/>
    </row>
    <row r="99" spans="1:11" x14ac:dyDescent="0.2">
      <c r="A99" s="2">
        <v>6227</v>
      </c>
      <c r="B99" s="3" t="s">
        <v>369</v>
      </c>
      <c r="C99" s="3" t="str">
        <f t="shared" si="3"/>
        <v>KGM Nieder-Moos</v>
      </c>
      <c r="D99" s="222" t="str">
        <f t="shared" si="4"/>
        <v>6227</v>
      </c>
      <c r="E99" s="222" t="str">
        <f t="shared" si="5"/>
        <v>900096227</v>
      </c>
      <c r="F99" s="4" t="s">
        <v>370</v>
      </c>
      <c r="G99" s="4" t="s">
        <v>394</v>
      </c>
      <c r="K99" s="3"/>
    </row>
    <row r="100" spans="1:11" x14ac:dyDescent="0.2">
      <c r="A100" s="2">
        <v>6228</v>
      </c>
      <c r="B100" s="3" t="s">
        <v>371</v>
      </c>
      <c r="C100" s="3" t="str">
        <f t="shared" si="3"/>
        <v>KGM Ober-Wegfurth</v>
      </c>
      <c r="D100" s="222" t="str">
        <f t="shared" si="4"/>
        <v>6228</v>
      </c>
      <c r="E100" s="222" t="str">
        <f t="shared" si="5"/>
        <v>900096228</v>
      </c>
      <c r="F100" s="4" t="s">
        <v>372</v>
      </c>
      <c r="G100" s="4" t="s">
        <v>394</v>
      </c>
      <c r="K100" s="3"/>
    </row>
    <row r="101" spans="1:11" x14ac:dyDescent="0.2">
      <c r="A101" s="2">
        <v>6229</v>
      </c>
      <c r="B101" s="3" t="s">
        <v>373</v>
      </c>
      <c r="C101" s="3" t="str">
        <f t="shared" si="3"/>
        <v>KGM Queck</v>
      </c>
      <c r="D101" s="222" t="str">
        <f t="shared" si="4"/>
        <v>6229</v>
      </c>
      <c r="E101" s="222" t="str">
        <f t="shared" si="5"/>
        <v>900096229</v>
      </c>
      <c r="F101" s="4" t="s">
        <v>374</v>
      </c>
      <c r="G101" s="4" t="s">
        <v>394</v>
      </c>
      <c r="K101" s="3"/>
    </row>
    <row r="102" spans="1:11" x14ac:dyDescent="0.2">
      <c r="A102" s="2">
        <v>6230</v>
      </c>
      <c r="B102" s="3" t="s">
        <v>375</v>
      </c>
      <c r="C102" s="3" t="str">
        <f t="shared" si="3"/>
        <v>KGM Rimbach</v>
      </c>
      <c r="D102" s="222" t="str">
        <f t="shared" si="4"/>
        <v>6230</v>
      </c>
      <c r="E102" s="222" t="str">
        <f t="shared" si="5"/>
        <v>900096230</v>
      </c>
      <c r="F102" s="4" t="s">
        <v>376</v>
      </c>
      <c r="G102" s="4" t="s">
        <v>394</v>
      </c>
      <c r="K102" s="3"/>
    </row>
    <row r="103" spans="1:11" x14ac:dyDescent="0.2">
      <c r="A103" s="2">
        <v>6231</v>
      </c>
      <c r="B103" s="3" t="s">
        <v>377</v>
      </c>
      <c r="C103" s="3" t="str">
        <f t="shared" si="3"/>
        <v>KGM Rixfeld</v>
      </c>
      <c r="D103" s="222" t="str">
        <f t="shared" si="4"/>
        <v>6231</v>
      </c>
      <c r="E103" s="222" t="str">
        <f t="shared" si="5"/>
        <v>900096231</v>
      </c>
      <c r="F103" s="4" t="s">
        <v>378</v>
      </c>
      <c r="G103" s="4" t="s">
        <v>394</v>
      </c>
      <c r="K103" s="3"/>
    </row>
    <row r="104" spans="1:11" x14ac:dyDescent="0.2">
      <c r="A104" s="2">
        <v>6232</v>
      </c>
      <c r="B104" s="3" t="s">
        <v>379</v>
      </c>
      <c r="C104" s="3" t="str">
        <f t="shared" si="3"/>
        <v>KGM Rudlos</v>
      </c>
      <c r="D104" s="222" t="str">
        <f t="shared" si="4"/>
        <v>6232</v>
      </c>
      <c r="E104" s="222" t="str">
        <f t="shared" si="5"/>
        <v>900096232</v>
      </c>
      <c r="F104" s="4" t="s">
        <v>380</v>
      </c>
      <c r="G104" s="4" t="s">
        <v>394</v>
      </c>
      <c r="K104" s="3"/>
    </row>
    <row r="105" spans="1:11" x14ac:dyDescent="0.2">
      <c r="A105" s="2">
        <v>6233</v>
      </c>
      <c r="B105" s="3" t="s">
        <v>381</v>
      </c>
      <c r="C105" s="3" t="str">
        <f t="shared" si="3"/>
        <v>KGM Sandlofs</v>
      </c>
      <c r="D105" s="222" t="str">
        <f t="shared" si="4"/>
        <v>6233</v>
      </c>
      <c r="E105" s="222" t="str">
        <f t="shared" si="5"/>
        <v>900096233</v>
      </c>
      <c r="F105" s="4" t="s">
        <v>382</v>
      </c>
      <c r="G105" s="4" t="s">
        <v>394</v>
      </c>
      <c r="K105" s="3"/>
    </row>
    <row r="106" spans="1:11" x14ac:dyDescent="0.2">
      <c r="A106" s="2">
        <v>6234</v>
      </c>
      <c r="B106" s="3" t="s">
        <v>383</v>
      </c>
      <c r="C106" s="3" t="str">
        <f t="shared" si="3"/>
        <v>KGM Schlechtenwegen</v>
      </c>
      <c r="D106" s="222" t="str">
        <f t="shared" si="4"/>
        <v>6234</v>
      </c>
      <c r="E106" s="222" t="str">
        <f t="shared" si="5"/>
        <v>900096234</v>
      </c>
      <c r="F106" s="4" t="s">
        <v>384</v>
      </c>
      <c r="G106" s="4" t="s">
        <v>394</v>
      </c>
      <c r="K106" s="3"/>
    </row>
    <row r="107" spans="1:11" x14ac:dyDescent="0.2">
      <c r="A107" s="2">
        <v>6235</v>
      </c>
      <c r="B107" s="3" t="s">
        <v>385</v>
      </c>
      <c r="C107" s="3" t="str">
        <f t="shared" si="3"/>
        <v>KGM Schlitz</v>
      </c>
      <c r="D107" s="222" t="str">
        <f t="shared" si="4"/>
        <v>6235</v>
      </c>
      <c r="E107" s="222" t="str">
        <f t="shared" si="5"/>
        <v>900096235</v>
      </c>
      <c r="F107" s="4" t="s">
        <v>386</v>
      </c>
      <c r="G107" s="4" t="s">
        <v>394</v>
      </c>
      <c r="K107" s="3"/>
    </row>
    <row r="108" spans="1:11" x14ac:dyDescent="0.2">
      <c r="A108" s="2">
        <v>6236</v>
      </c>
      <c r="B108" s="3" t="s">
        <v>240</v>
      </c>
      <c r="C108" s="3" t="str">
        <f t="shared" si="3"/>
        <v>KGM Stockhausen</v>
      </c>
      <c r="D108" s="222" t="str">
        <f t="shared" si="4"/>
        <v>6236</v>
      </c>
      <c r="E108" s="222" t="str">
        <f t="shared" si="5"/>
        <v>900096236</v>
      </c>
      <c r="F108" s="4" t="s">
        <v>387</v>
      </c>
      <c r="G108" s="4" t="s">
        <v>394</v>
      </c>
      <c r="K108" s="3"/>
    </row>
    <row r="109" spans="1:11" x14ac:dyDescent="0.2">
      <c r="A109" s="2">
        <v>6237</v>
      </c>
      <c r="B109" s="3" t="s">
        <v>388</v>
      </c>
      <c r="C109" s="3" t="str">
        <f t="shared" si="3"/>
        <v>KGM Wallenrod</v>
      </c>
      <c r="D109" s="222" t="str">
        <f t="shared" si="4"/>
        <v>6237</v>
      </c>
      <c r="E109" s="222" t="str">
        <f t="shared" si="5"/>
        <v>900096237</v>
      </c>
      <c r="F109" s="4" t="s">
        <v>389</v>
      </c>
      <c r="G109" s="4" t="s">
        <v>394</v>
      </c>
      <c r="K109" s="3"/>
    </row>
    <row r="110" spans="1:11" x14ac:dyDescent="0.2">
      <c r="A110" s="2">
        <v>6238</v>
      </c>
      <c r="B110" s="3" t="s">
        <v>390</v>
      </c>
      <c r="C110" s="3" t="str">
        <f t="shared" si="3"/>
        <v>KGM Wernges</v>
      </c>
      <c r="D110" s="222" t="str">
        <f t="shared" si="4"/>
        <v>6238</v>
      </c>
      <c r="E110" s="222" t="str">
        <f t="shared" si="5"/>
        <v>900096238</v>
      </c>
      <c r="F110" s="4" t="s">
        <v>391</v>
      </c>
      <c r="G110" s="4" t="s">
        <v>394</v>
      </c>
      <c r="K110" s="3"/>
    </row>
    <row r="111" spans="1:11" x14ac:dyDescent="0.2">
      <c r="A111" s="2">
        <v>6239</v>
      </c>
      <c r="B111" s="3" t="s">
        <v>392</v>
      </c>
      <c r="C111" s="3" t="str">
        <f t="shared" si="3"/>
        <v>KGM Willofs</v>
      </c>
      <c r="D111" s="222" t="str">
        <f t="shared" si="4"/>
        <v>6239</v>
      </c>
      <c r="E111" s="222" t="str">
        <f t="shared" si="5"/>
        <v>900096239</v>
      </c>
      <c r="F111" s="4" t="s">
        <v>393</v>
      </c>
      <c r="G111" s="4" t="s">
        <v>394</v>
      </c>
      <c r="K111" s="3"/>
    </row>
    <row r="112" spans="1:11" x14ac:dyDescent="0.2">
      <c r="A112" s="2">
        <v>6298</v>
      </c>
      <c r="B112" s="3" t="s">
        <v>394</v>
      </c>
      <c r="C112" s="3" t="str">
        <f t="shared" si="3"/>
        <v>Dekanat Vogelsberg</v>
      </c>
      <c r="D112" s="222" t="str">
        <f t="shared" si="4"/>
        <v>6298</v>
      </c>
      <c r="E112" s="222" t="str">
        <f t="shared" si="5"/>
        <v>900096298</v>
      </c>
      <c r="F112" s="4" t="s">
        <v>395</v>
      </c>
      <c r="G112" s="4" t="s">
        <v>394</v>
      </c>
      <c r="K112" s="3"/>
    </row>
    <row r="113" spans="1:11" x14ac:dyDescent="0.2">
      <c r="A113" s="2">
        <v>6602</v>
      </c>
      <c r="B113" s="3" t="s">
        <v>396</v>
      </c>
      <c r="C113" s="3" t="str">
        <f t="shared" si="3"/>
        <v>KGM Albach</v>
      </c>
      <c r="D113" s="222" t="str">
        <f t="shared" si="4"/>
        <v>6602</v>
      </c>
      <c r="E113" s="222" t="str">
        <f t="shared" si="5"/>
        <v>900096602</v>
      </c>
      <c r="F113" s="4" t="s">
        <v>397</v>
      </c>
      <c r="G113" s="4" t="s">
        <v>459</v>
      </c>
      <c r="K113" s="3"/>
    </row>
    <row r="114" spans="1:11" x14ac:dyDescent="0.2">
      <c r="A114" s="2">
        <v>6603</v>
      </c>
      <c r="B114" s="3" t="s">
        <v>398</v>
      </c>
      <c r="C114" s="3" t="str">
        <f t="shared" si="3"/>
        <v>KGM Großen-Linden</v>
      </c>
      <c r="D114" s="222" t="str">
        <f t="shared" si="4"/>
        <v>6603</v>
      </c>
      <c r="E114" s="222" t="str">
        <f t="shared" si="5"/>
        <v>900096603</v>
      </c>
      <c r="F114" s="4" t="s">
        <v>399</v>
      </c>
      <c r="G114" s="4" t="s">
        <v>459</v>
      </c>
      <c r="K114" s="3"/>
    </row>
    <row r="115" spans="1:11" x14ac:dyDescent="0.2">
      <c r="A115" s="2">
        <v>6604</v>
      </c>
      <c r="B115" s="3" t="s">
        <v>400</v>
      </c>
      <c r="C115" s="3" t="str">
        <f t="shared" si="3"/>
        <v>KGM Kinzenbach</v>
      </c>
      <c r="D115" s="222" t="str">
        <f t="shared" si="4"/>
        <v>6604</v>
      </c>
      <c r="E115" s="222" t="str">
        <f t="shared" si="5"/>
        <v>900096604</v>
      </c>
      <c r="F115" s="4" t="s">
        <v>401</v>
      </c>
      <c r="G115" s="4" t="s">
        <v>459</v>
      </c>
      <c r="K115" s="3"/>
    </row>
    <row r="116" spans="1:11" x14ac:dyDescent="0.2">
      <c r="A116" s="2">
        <v>6605</v>
      </c>
      <c r="B116" s="3" t="s">
        <v>402</v>
      </c>
      <c r="C116" s="3" t="str">
        <f t="shared" si="3"/>
        <v>KGM Langgöns</v>
      </c>
      <c r="D116" s="222" t="str">
        <f t="shared" si="4"/>
        <v>6605</v>
      </c>
      <c r="E116" s="222" t="str">
        <f t="shared" si="5"/>
        <v>900096605</v>
      </c>
      <c r="F116" s="4" t="s">
        <v>403</v>
      </c>
      <c r="G116" s="4" t="s">
        <v>459</v>
      </c>
      <c r="K116" s="3"/>
    </row>
    <row r="117" spans="1:11" x14ac:dyDescent="0.2">
      <c r="A117" s="2">
        <v>6606</v>
      </c>
      <c r="B117" s="3" t="s">
        <v>404</v>
      </c>
      <c r="C117" s="3" t="str">
        <f t="shared" si="3"/>
        <v>KGM Leihgestern</v>
      </c>
      <c r="D117" s="222" t="str">
        <f t="shared" si="4"/>
        <v>6606</v>
      </c>
      <c r="E117" s="222" t="str">
        <f t="shared" si="5"/>
        <v>900096606</v>
      </c>
      <c r="F117" s="4" t="s">
        <v>405</v>
      </c>
      <c r="G117" s="4" t="s">
        <v>459</v>
      </c>
      <c r="K117" s="3"/>
    </row>
    <row r="118" spans="1:11" x14ac:dyDescent="0.2">
      <c r="A118" s="2">
        <v>6607</v>
      </c>
      <c r="B118" s="3" t="s">
        <v>406</v>
      </c>
      <c r="C118" s="3" t="str">
        <f t="shared" si="3"/>
        <v>KGM Steinbach</v>
      </c>
      <c r="D118" s="222" t="str">
        <f t="shared" si="4"/>
        <v>6607</v>
      </c>
      <c r="E118" s="222" t="str">
        <f t="shared" si="5"/>
        <v>900096607</v>
      </c>
      <c r="F118" s="4" t="s">
        <v>407</v>
      </c>
      <c r="G118" s="4" t="s">
        <v>459</v>
      </c>
      <c r="K118" s="3"/>
    </row>
    <row r="119" spans="1:11" x14ac:dyDescent="0.2">
      <c r="A119" s="2">
        <v>6608</v>
      </c>
      <c r="B119" s="3" t="s">
        <v>408</v>
      </c>
      <c r="C119" s="3" t="str">
        <f t="shared" si="3"/>
        <v>KGM Watzenborn-Steinberg</v>
      </c>
      <c r="D119" s="222" t="str">
        <f t="shared" si="4"/>
        <v>6608</v>
      </c>
      <c r="E119" s="222" t="str">
        <f t="shared" si="5"/>
        <v>900096608</v>
      </c>
      <c r="F119" s="4" t="s">
        <v>409</v>
      </c>
      <c r="G119" s="4" t="s">
        <v>459</v>
      </c>
      <c r="K119" s="3"/>
    </row>
    <row r="120" spans="1:11" x14ac:dyDescent="0.2">
      <c r="A120" s="2">
        <v>6609</v>
      </c>
      <c r="B120" s="3" t="s">
        <v>410</v>
      </c>
      <c r="C120" s="3" t="str">
        <f t="shared" si="3"/>
        <v>Michaelsgemeinde Gießen-Wieseck</v>
      </c>
      <c r="D120" s="222" t="str">
        <f t="shared" si="4"/>
        <v>6609</v>
      </c>
      <c r="E120" s="222" t="str">
        <f t="shared" si="5"/>
        <v>900096609</v>
      </c>
      <c r="F120" s="4" t="s">
        <v>411</v>
      </c>
      <c r="G120" s="4" t="s">
        <v>459</v>
      </c>
      <c r="K120" s="3"/>
    </row>
    <row r="121" spans="1:11" x14ac:dyDescent="0.2">
      <c r="A121" s="2">
        <v>6610</v>
      </c>
      <c r="B121" s="3" t="s">
        <v>412</v>
      </c>
      <c r="C121" s="3" t="str">
        <f t="shared" si="3"/>
        <v>Andreasgemeinde Gießen</v>
      </c>
      <c r="D121" s="222" t="str">
        <f t="shared" si="4"/>
        <v>6610</v>
      </c>
      <c r="E121" s="222" t="str">
        <f t="shared" si="5"/>
        <v>900096610</v>
      </c>
      <c r="F121" s="4" t="s">
        <v>413</v>
      </c>
      <c r="G121" s="4" t="s">
        <v>459</v>
      </c>
      <c r="K121" s="3"/>
    </row>
    <row r="122" spans="1:11" x14ac:dyDescent="0.2">
      <c r="A122" s="2">
        <v>6611</v>
      </c>
      <c r="B122" s="3" t="s">
        <v>414</v>
      </c>
      <c r="C122" s="3" t="str">
        <f t="shared" si="3"/>
        <v>Johannesgemeinde Gießen</v>
      </c>
      <c r="D122" s="222" t="str">
        <f t="shared" si="4"/>
        <v>6611</v>
      </c>
      <c r="E122" s="222" t="str">
        <f t="shared" si="5"/>
        <v>900096611</v>
      </c>
      <c r="F122" s="4" t="s">
        <v>415</v>
      </c>
      <c r="G122" s="4" t="s">
        <v>459</v>
      </c>
      <c r="K122" s="3"/>
    </row>
    <row r="123" spans="1:11" x14ac:dyDescent="0.2">
      <c r="A123" s="2">
        <v>6612</v>
      </c>
      <c r="B123" s="3" t="s">
        <v>416</v>
      </c>
      <c r="C123" s="3" t="str">
        <f t="shared" si="3"/>
        <v>KGM Allendorf/Lahn</v>
      </c>
      <c r="D123" s="222" t="str">
        <f t="shared" si="4"/>
        <v>6612</v>
      </c>
      <c r="E123" s="222" t="str">
        <f t="shared" si="5"/>
        <v>900096612</v>
      </c>
      <c r="F123" s="4" t="s">
        <v>417</v>
      </c>
      <c r="G123" s="4" t="s">
        <v>459</v>
      </c>
      <c r="K123" s="3"/>
    </row>
    <row r="124" spans="1:11" x14ac:dyDescent="0.2">
      <c r="A124" s="2">
        <v>6613</v>
      </c>
      <c r="B124" s="3" t="s">
        <v>418</v>
      </c>
      <c r="C124" s="3" t="str">
        <f t="shared" si="3"/>
        <v>KGM Garbenteich</v>
      </c>
      <c r="D124" s="222" t="str">
        <f t="shared" si="4"/>
        <v>6613</v>
      </c>
      <c r="E124" s="222" t="str">
        <f t="shared" si="5"/>
        <v>900096613</v>
      </c>
      <c r="F124" s="4" t="s">
        <v>419</v>
      </c>
      <c r="G124" s="4" t="s">
        <v>459</v>
      </c>
      <c r="K124" s="3"/>
    </row>
    <row r="125" spans="1:11" x14ac:dyDescent="0.2">
      <c r="A125" s="2">
        <v>6614</v>
      </c>
      <c r="B125" s="3" t="s">
        <v>420</v>
      </c>
      <c r="C125" s="3" t="str">
        <f t="shared" si="3"/>
        <v>KGM Hausen</v>
      </c>
      <c r="D125" s="222" t="str">
        <f t="shared" si="4"/>
        <v>6614</v>
      </c>
      <c r="E125" s="222" t="str">
        <f t="shared" si="5"/>
        <v>900096614</v>
      </c>
      <c r="F125" s="4" t="s">
        <v>421</v>
      </c>
      <c r="G125" s="4" t="s">
        <v>459</v>
      </c>
      <c r="K125" s="3"/>
    </row>
    <row r="126" spans="1:11" x14ac:dyDescent="0.2">
      <c r="A126" s="2">
        <v>6615</v>
      </c>
      <c r="B126" s="3" t="s">
        <v>422</v>
      </c>
      <c r="C126" s="3" t="str">
        <f t="shared" si="3"/>
        <v>KGM Kleinlinden</v>
      </c>
      <c r="D126" s="222" t="str">
        <f t="shared" si="4"/>
        <v>6615</v>
      </c>
      <c r="E126" s="222" t="str">
        <f t="shared" si="5"/>
        <v>900096615</v>
      </c>
      <c r="F126" s="4" t="s">
        <v>423</v>
      </c>
      <c r="G126" s="4" t="s">
        <v>459</v>
      </c>
      <c r="K126" s="3"/>
    </row>
    <row r="127" spans="1:11" x14ac:dyDescent="0.2">
      <c r="A127" s="2">
        <v>6616</v>
      </c>
      <c r="B127" s="3" t="s">
        <v>424</v>
      </c>
      <c r="C127" s="3" t="str">
        <f t="shared" si="3"/>
        <v>Lukasgemeinde Gießen</v>
      </c>
      <c r="D127" s="222" t="str">
        <f t="shared" si="4"/>
        <v>6616</v>
      </c>
      <c r="E127" s="222" t="str">
        <f t="shared" si="5"/>
        <v>900096616</v>
      </c>
      <c r="F127" s="4" t="s">
        <v>425</v>
      </c>
      <c r="G127" s="4" t="s">
        <v>459</v>
      </c>
      <c r="K127" s="3"/>
    </row>
    <row r="128" spans="1:11" x14ac:dyDescent="0.2">
      <c r="A128" s="2">
        <v>6617</v>
      </c>
      <c r="B128" s="3" t="s">
        <v>426</v>
      </c>
      <c r="C128" s="3" t="str">
        <f t="shared" si="3"/>
        <v>Luthergemeinde Gießen</v>
      </c>
      <c r="D128" s="222" t="str">
        <f t="shared" si="4"/>
        <v>6617</v>
      </c>
      <c r="E128" s="222" t="str">
        <f t="shared" si="5"/>
        <v>900096617</v>
      </c>
      <c r="F128" s="4" t="s">
        <v>427</v>
      </c>
      <c r="G128" s="4" t="s">
        <v>459</v>
      </c>
      <c r="K128" s="3"/>
    </row>
    <row r="129" spans="1:11" x14ac:dyDescent="0.2">
      <c r="A129" s="2">
        <v>6619</v>
      </c>
      <c r="B129" s="3" t="s">
        <v>428</v>
      </c>
      <c r="C129" s="3" t="str">
        <f t="shared" si="3"/>
        <v>Martinsgem. Heuchelheim</v>
      </c>
      <c r="D129" s="222" t="str">
        <f t="shared" si="4"/>
        <v>6619</v>
      </c>
      <c r="E129" s="222" t="str">
        <f t="shared" si="5"/>
        <v>900096619</v>
      </c>
      <c r="F129" s="4" t="s">
        <v>429</v>
      </c>
      <c r="G129" s="4" t="s">
        <v>459</v>
      </c>
      <c r="K129" s="3"/>
    </row>
    <row r="130" spans="1:11" x14ac:dyDescent="0.2">
      <c r="A130" s="2">
        <v>6622</v>
      </c>
      <c r="B130" s="3" t="s">
        <v>430</v>
      </c>
      <c r="C130" s="3" t="str">
        <f t="shared" ref="C130:C142" si="6">MID(B130,5,100)</f>
        <v>Paulusgemeinde Gießen</v>
      </c>
      <c r="D130" s="222" t="str">
        <f t="shared" ref="D130:D193" si="7">IF(LEN($A130)&lt;=4,LEFT(TEXT($A130,"0000"),4),LEFT(TEXT($A130,"000000"),4))</f>
        <v>6622</v>
      </c>
      <c r="E130" s="222" t="str">
        <f t="shared" si="5"/>
        <v>900096622</v>
      </c>
      <c r="F130" s="4" t="s">
        <v>431</v>
      </c>
      <c r="G130" s="4" t="s">
        <v>459</v>
      </c>
      <c r="K130" s="3"/>
    </row>
    <row r="131" spans="1:11" x14ac:dyDescent="0.2">
      <c r="A131" s="2">
        <v>6623</v>
      </c>
      <c r="B131" s="3" t="s">
        <v>432</v>
      </c>
      <c r="C131" s="3" t="str">
        <f t="shared" si="6"/>
        <v>Petrusgemeinde Gießen</v>
      </c>
      <c r="D131" s="222" t="str">
        <f t="shared" si="7"/>
        <v>6623</v>
      </c>
      <c r="E131" s="222" t="str">
        <f t="shared" ref="E131:E194" si="8">$I$1&amp;$D131</f>
        <v>900096623</v>
      </c>
      <c r="F131" s="4" t="s">
        <v>433</v>
      </c>
      <c r="G131" s="4" t="s">
        <v>459</v>
      </c>
      <c r="K131" s="3"/>
    </row>
    <row r="132" spans="1:11" x14ac:dyDescent="0.2">
      <c r="A132" s="2">
        <v>6624</v>
      </c>
      <c r="B132" s="3" t="s">
        <v>434</v>
      </c>
      <c r="C132" s="3" t="str">
        <f t="shared" si="6"/>
        <v>Stephanusgemeinde Gießen</v>
      </c>
      <c r="D132" s="222" t="str">
        <f t="shared" si="7"/>
        <v>6624</v>
      </c>
      <c r="E132" s="222" t="str">
        <f t="shared" si="8"/>
        <v>900096624</v>
      </c>
      <c r="F132" s="4" t="s">
        <v>435</v>
      </c>
      <c r="G132" s="4" t="s">
        <v>459</v>
      </c>
      <c r="K132" s="3"/>
    </row>
    <row r="133" spans="1:11" x14ac:dyDescent="0.2">
      <c r="A133" s="2">
        <v>6625</v>
      </c>
      <c r="B133" s="3" t="s">
        <v>436</v>
      </c>
      <c r="C133" s="3" t="str">
        <f t="shared" si="6"/>
        <v>Thomasgemeinde Gießen</v>
      </c>
      <c r="D133" s="222" t="str">
        <f t="shared" si="7"/>
        <v>6625</v>
      </c>
      <c r="E133" s="222" t="str">
        <f t="shared" si="8"/>
        <v>900096625</v>
      </c>
      <c r="F133" s="4" t="s">
        <v>437</v>
      </c>
      <c r="G133" s="4" t="s">
        <v>459</v>
      </c>
      <c r="K133" s="3"/>
    </row>
    <row r="134" spans="1:11" x14ac:dyDescent="0.2">
      <c r="A134" s="2">
        <v>6626</v>
      </c>
      <c r="B134" s="3" t="s">
        <v>438</v>
      </c>
      <c r="C134" s="3" t="str">
        <f t="shared" si="6"/>
        <v>Wicherngemeinde Gießen</v>
      </c>
      <c r="D134" s="222" t="str">
        <f t="shared" si="7"/>
        <v>6626</v>
      </c>
      <c r="E134" s="222" t="str">
        <f t="shared" si="8"/>
        <v>900096626</v>
      </c>
      <c r="F134" s="4" t="s">
        <v>439</v>
      </c>
      <c r="G134" s="4" t="s">
        <v>459</v>
      </c>
      <c r="K134" s="3"/>
    </row>
    <row r="135" spans="1:11" x14ac:dyDescent="0.2">
      <c r="A135" s="2">
        <v>6627</v>
      </c>
      <c r="B135" s="3" t="s">
        <v>440</v>
      </c>
      <c r="C135" s="3" t="str">
        <f t="shared" si="6"/>
        <v>Pankratiusgemeinde Gießen</v>
      </c>
      <c r="D135" s="222" t="str">
        <f t="shared" si="7"/>
        <v>6627</v>
      </c>
      <c r="E135" s="222" t="str">
        <f t="shared" si="8"/>
        <v>900096627</v>
      </c>
      <c r="F135" s="4" t="s">
        <v>441</v>
      </c>
      <c r="G135" s="4" t="s">
        <v>459</v>
      </c>
      <c r="K135" s="3"/>
    </row>
    <row r="136" spans="1:11" x14ac:dyDescent="0.2">
      <c r="A136" s="2">
        <v>6630</v>
      </c>
      <c r="B136" s="3" t="s">
        <v>442</v>
      </c>
      <c r="C136" s="3" t="str">
        <f t="shared" si="6"/>
        <v>KGM Fellingshausen</v>
      </c>
      <c r="D136" s="222" t="str">
        <f t="shared" si="7"/>
        <v>6630</v>
      </c>
      <c r="E136" s="222" t="str">
        <f t="shared" si="8"/>
        <v>900096630</v>
      </c>
      <c r="F136" s="4" t="s">
        <v>443</v>
      </c>
      <c r="G136" s="4" t="s">
        <v>459</v>
      </c>
      <c r="K136" s="3"/>
    </row>
    <row r="137" spans="1:11" x14ac:dyDescent="0.2">
      <c r="A137" s="2">
        <v>6631</v>
      </c>
      <c r="B137" s="3" t="s">
        <v>444</v>
      </c>
      <c r="C137" s="3" t="str">
        <f t="shared" si="6"/>
        <v>KGM Königsberg</v>
      </c>
      <c r="D137" s="222" t="str">
        <f t="shared" si="7"/>
        <v>6631</v>
      </c>
      <c r="E137" s="222" t="str">
        <f t="shared" si="8"/>
        <v>900096631</v>
      </c>
      <c r="F137" s="4" t="s">
        <v>445</v>
      </c>
      <c r="G137" s="4" t="s">
        <v>459</v>
      </c>
      <c r="K137" s="3"/>
    </row>
    <row r="138" spans="1:11" x14ac:dyDescent="0.2">
      <c r="A138" s="2">
        <v>6632</v>
      </c>
      <c r="B138" s="3" t="s">
        <v>446</v>
      </c>
      <c r="C138" s="3" t="str">
        <f t="shared" si="6"/>
        <v>KGM Frankenbach</v>
      </c>
      <c r="D138" s="222" t="str">
        <f t="shared" si="7"/>
        <v>6632</v>
      </c>
      <c r="E138" s="222" t="str">
        <f t="shared" si="8"/>
        <v>900096632</v>
      </c>
      <c r="F138" s="4" t="s">
        <v>447</v>
      </c>
      <c r="G138" s="4" t="s">
        <v>459</v>
      </c>
      <c r="K138" s="3"/>
    </row>
    <row r="139" spans="1:11" x14ac:dyDescent="0.2">
      <c r="A139" s="2">
        <v>6633</v>
      </c>
      <c r="B139" s="3" t="s">
        <v>448</v>
      </c>
      <c r="C139" s="3" t="str">
        <f t="shared" si="6"/>
        <v>KGM Krumbach</v>
      </c>
      <c r="D139" s="222" t="str">
        <f t="shared" si="7"/>
        <v>6633</v>
      </c>
      <c r="E139" s="222" t="str">
        <f t="shared" si="8"/>
        <v>900096633</v>
      </c>
      <c r="F139" s="4" t="s">
        <v>449</v>
      </c>
      <c r="G139" s="4" t="s">
        <v>459</v>
      </c>
      <c r="K139" s="3"/>
    </row>
    <row r="140" spans="1:11" x14ac:dyDescent="0.2">
      <c r="A140" s="2">
        <v>6634</v>
      </c>
      <c r="B140" s="3" t="s">
        <v>450</v>
      </c>
      <c r="C140" s="3" t="str">
        <f t="shared" si="6"/>
        <v>KGM Rodheim-Vetzberg</v>
      </c>
      <c r="D140" s="222" t="str">
        <f t="shared" si="7"/>
        <v>6634</v>
      </c>
      <c r="E140" s="222" t="str">
        <f t="shared" si="8"/>
        <v>900096634</v>
      </c>
      <c r="F140" s="4" t="s">
        <v>451</v>
      </c>
      <c r="G140" s="4" t="s">
        <v>459</v>
      </c>
      <c r="K140" s="3"/>
    </row>
    <row r="141" spans="1:11" x14ac:dyDescent="0.2">
      <c r="A141" s="2">
        <v>6635</v>
      </c>
      <c r="B141" s="3" t="s">
        <v>452</v>
      </c>
      <c r="C141" s="3" t="str">
        <f t="shared" si="6"/>
        <v>KGM Bieber</v>
      </c>
      <c r="D141" s="222" t="str">
        <f t="shared" si="7"/>
        <v>6635</v>
      </c>
      <c r="E141" s="222" t="str">
        <f t="shared" si="8"/>
        <v>900096635</v>
      </c>
      <c r="F141" s="4" t="s">
        <v>453</v>
      </c>
      <c r="G141" s="4" t="s">
        <v>459</v>
      </c>
      <c r="K141" s="3"/>
    </row>
    <row r="142" spans="1:11" x14ac:dyDescent="0.2">
      <c r="A142" s="1">
        <v>6661</v>
      </c>
      <c r="B142" s="3" t="s">
        <v>454</v>
      </c>
      <c r="C142" s="3" t="str">
        <f t="shared" si="6"/>
        <v>Gemeindeverband Gießen</v>
      </c>
      <c r="D142" s="222" t="str">
        <f t="shared" si="7"/>
        <v>6661</v>
      </c>
      <c r="E142" s="222" t="str">
        <f t="shared" si="8"/>
        <v>900096661</v>
      </c>
      <c r="F142" s="4">
        <v>900096661</v>
      </c>
      <c r="G142" s="4" t="s">
        <v>459</v>
      </c>
      <c r="K142" s="3"/>
    </row>
    <row r="143" spans="1:11" x14ac:dyDescent="0.2">
      <c r="A143" s="1">
        <v>6670</v>
      </c>
      <c r="B143" s="3" t="s">
        <v>455</v>
      </c>
      <c r="C143" s="3" t="str">
        <f>B143</f>
        <v>Oekum. Telefonseelsorge</v>
      </c>
      <c r="D143" s="222" t="str">
        <f t="shared" si="7"/>
        <v>6670</v>
      </c>
      <c r="E143" s="222" t="str">
        <f t="shared" si="8"/>
        <v>900096670</v>
      </c>
      <c r="F143" s="4" t="s">
        <v>456</v>
      </c>
      <c r="G143" s="4" t="s">
        <v>459</v>
      </c>
      <c r="K143" s="3"/>
    </row>
    <row r="144" spans="1:11" x14ac:dyDescent="0.2">
      <c r="A144" s="1">
        <v>6674</v>
      </c>
      <c r="B144" s="3" t="s">
        <v>457</v>
      </c>
      <c r="C144" s="3" t="str">
        <f>B144</f>
        <v>Oberhessischer Kirchentag</v>
      </c>
      <c r="D144" s="222" t="str">
        <f t="shared" si="7"/>
        <v>6674</v>
      </c>
      <c r="E144" s="222" t="str">
        <f t="shared" si="8"/>
        <v>900096674</v>
      </c>
      <c r="F144" s="4">
        <v>900096674</v>
      </c>
      <c r="G144" s="4" t="s">
        <v>459</v>
      </c>
      <c r="K144" s="3"/>
    </row>
    <row r="145" spans="1:11" x14ac:dyDescent="0.2">
      <c r="A145" s="1">
        <v>6677</v>
      </c>
      <c r="B145" s="3" t="s">
        <v>458</v>
      </c>
      <c r="C145" s="3" t="str">
        <f>B145</f>
        <v>Oberhessischer Austauschfonds</v>
      </c>
      <c r="D145" s="222" t="str">
        <f t="shared" si="7"/>
        <v>6677</v>
      </c>
      <c r="E145" s="222" t="str">
        <f t="shared" si="8"/>
        <v>900096677</v>
      </c>
      <c r="F145" s="4">
        <v>900096677</v>
      </c>
      <c r="G145" s="4" t="s">
        <v>459</v>
      </c>
      <c r="K145" s="3"/>
    </row>
    <row r="146" spans="1:11" x14ac:dyDescent="0.2">
      <c r="A146" s="2">
        <v>6698</v>
      </c>
      <c r="B146" s="3" t="s">
        <v>459</v>
      </c>
      <c r="C146" s="3" t="str">
        <f t="shared" ref="C146:C191" si="9">MID(B146,5,100)</f>
        <v>Dekanat Gießen</v>
      </c>
      <c r="D146" s="222" t="str">
        <f t="shared" si="7"/>
        <v>6698</v>
      </c>
      <c r="E146" s="222" t="str">
        <f t="shared" si="8"/>
        <v>900096698</v>
      </c>
      <c r="F146" s="4" t="s">
        <v>460</v>
      </c>
      <c r="G146" s="4" t="s">
        <v>459</v>
      </c>
      <c r="K146" s="3"/>
    </row>
    <row r="147" spans="1:11" x14ac:dyDescent="0.2">
      <c r="A147" s="2">
        <v>6702</v>
      </c>
      <c r="B147" s="3" t="s">
        <v>461</v>
      </c>
      <c r="C147" s="3" t="str">
        <f t="shared" si="9"/>
        <v>KGM Alsfeld</v>
      </c>
      <c r="D147" s="222" t="str">
        <f t="shared" si="7"/>
        <v>6702</v>
      </c>
      <c r="E147" s="222" t="str">
        <f t="shared" si="8"/>
        <v>900096702</v>
      </c>
      <c r="F147" s="4" t="s">
        <v>462</v>
      </c>
      <c r="G147" s="4" t="s">
        <v>551</v>
      </c>
      <c r="K147" s="3"/>
    </row>
    <row r="148" spans="1:11" x14ac:dyDescent="0.2">
      <c r="A148" s="2">
        <v>6703</v>
      </c>
      <c r="B148" s="3" t="s">
        <v>463</v>
      </c>
      <c r="C148" s="3" t="str">
        <f t="shared" si="9"/>
        <v>KGM Altenburg</v>
      </c>
      <c r="D148" s="222" t="str">
        <f t="shared" si="7"/>
        <v>6703</v>
      </c>
      <c r="E148" s="222" t="str">
        <f t="shared" si="8"/>
        <v>900096703</v>
      </c>
      <c r="F148" s="4" t="s">
        <v>464</v>
      </c>
      <c r="G148" s="4" t="s">
        <v>551</v>
      </c>
      <c r="K148" s="3"/>
    </row>
    <row r="149" spans="1:11" x14ac:dyDescent="0.2">
      <c r="A149" s="1">
        <v>6704</v>
      </c>
      <c r="B149" s="3" t="s">
        <v>465</v>
      </c>
      <c r="C149" s="3" t="str">
        <f t="shared" si="9"/>
        <v>KGM Appenrod</v>
      </c>
      <c r="D149" s="222" t="str">
        <f t="shared" si="7"/>
        <v>6704</v>
      </c>
      <c r="E149" s="222" t="str">
        <f t="shared" si="8"/>
        <v>900096704</v>
      </c>
      <c r="F149" s="4" t="s">
        <v>466</v>
      </c>
      <c r="G149" s="4" t="s">
        <v>551</v>
      </c>
      <c r="K149" s="3"/>
    </row>
    <row r="150" spans="1:11" x14ac:dyDescent="0.2">
      <c r="A150" s="2">
        <v>6705</v>
      </c>
      <c r="B150" s="3" t="s">
        <v>467</v>
      </c>
      <c r="C150" s="3" t="str">
        <f t="shared" si="9"/>
        <v>KGM Arnshain</v>
      </c>
      <c r="D150" s="222" t="str">
        <f t="shared" si="7"/>
        <v>6705</v>
      </c>
      <c r="E150" s="222" t="str">
        <f t="shared" si="8"/>
        <v>900096705</v>
      </c>
      <c r="F150" s="4" t="s">
        <v>468</v>
      </c>
      <c r="G150" s="4" t="s">
        <v>551</v>
      </c>
      <c r="K150" s="3"/>
    </row>
    <row r="151" spans="1:11" x14ac:dyDescent="0.2">
      <c r="A151" s="2">
        <v>6707</v>
      </c>
      <c r="B151" s="3" t="s">
        <v>469</v>
      </c>
      <c r="C151" s="3" t="str">
        <f t="shared" si="9"/>
        <v>KGM Bernsburg</v>
      </c>
      <c r="D151" s="222" t="str">
        <f t="shared" si="7"/>
        <v>6707</v>
      </c>
      <c r="E151" s="222" t="str">
        <f t="shared" si="8"/>
        <v>900096707</v>
      </c>
      <c r="F151" s="4" t="s">
        <v>470</v>
      </c>
      <c r="G151" s="4" t="s">
        <v>551</v>
      </c>
      <c r="K151" s="3"/>
    </row>
    <row r="152" spans="1:11" x14ac:dyDescent="0.2">
      <c r="A152" s="1">
        <v>6708</v>
      </c>
      <c r="B152" s="3" t="s">
        <v>471</v>
      </c>
      <c r="C152" s="3" t="str">
        <f t="shared" si="9"/>
        <v>KGM Bernsfeld</v>
      </c>
      <c r="D152" s="222" t="str">
        <f t="shared" si="7"/>
        <v>6708</v>
      </c>
      <c r="E152" s="222" t="str">
        <f t="shared" si="8"/>
        <v>900096708</v>
      </c>
      <c r="F152" s="4" t="s">
        <v>472</v>
      </c>
      <c r="G152" s="4" t="s">
        <v>551</v>
      </c>
      <c r="K152" s="3"/>
    </row>
    <row r="153" spans="1:11" x14ac:dyDescent="0.2">
      <c r="A153" s="2">
        <v>6709</v>
      </c>
      <c r="B153" s="3" t="s">
        <v>473</v>
      </c>
      <c r="C153" s="3" t="str">
        <f t="shared" si="9"/>
        <v>KGM Billertshausen</v>
      </c>
      <c r="D153" s="222" t="str">
        <f t="shared" si="7"/>
        <v>6709</v>
      </c>
      <c r="E153" s="222" t="str">
        <f t="shared" si="8"/>
        <v>900096709</v>
      </c>
      <c r="F153" s="4" t="s">
        <v>474</v>
      </c>
      <c r="G153" s="4" t="s">
        <v>551</v>
      </c>
      <c r="K153" s="3"/>
    </row>
    <row r="154" spans="1:11" x14ac:dyDescent="0.2">
      <c r="A154" s="2">
        <v>6711</v>
      </c>
      <c r="B154" s="3" t="s">
        <v>475</v>
      </c>
      <c r="C154" s="3" t="str">
        <f t="shared" si="9"/>
        <v>KGM Brauerschwend</v>
      </c>
      <c r="D154" s="222" t="str">
        <f t="shared" si="7"/>
        <v>6711</v>
      </c>
      <c r="E154" s="222" t="str">
        <f t="shared" si="8"/>
        <v>900096711</v>
      </c>
      <c r="F154" s="4" t="s">
        <v>476</v>
      </c>
      <c r="G154" s="4" t="s">
        <v>551</v>
      </c>
      <c r="K154" s="3"/>
    </row>
    <row r="155" spans="1:11" x14ac:dyDescent="0.2">
      <c r="A155" s="2">
        <v>6715</v>
      </c>
      <c r="B155" s="3" t="s">
        <v>477</v>
      </c>
      <c r="C155" s="3" t="str">
        <f t="shared" si="9"/>
        <v>KGM Deckenbach-Höingen</v>
      </c>
      <c r="D155" s="222" t="str">
        <f t="shared" si="7"/>
        <v>6715</v>
      </c>
      <c r="E155" s="222" t="str">
        <f t="shared" si="8"/>
        <v>900096715</v>
      </c>
      <c r="F155" s="4" t="s">
        <v>478</v>
      </c>
      <c r="G155" s="4" t="s">
        <v>551</v>
      </c>
      <c r="K155" s="3"/>
    </row>
    <row r="156" spans="1:11" x14ac:dyDescent="0.2">
      <c r="A156" s="2">
        <v>6716</v>
      </c>
      <c r="B156" s="3" t="s">
        <v>175</v>
      </c>
      <c r="C156" s="3" t="str">
        <f t="shared" si="9"/>
        <v>KGM Eifa</v>
      </c>
      <c r="D156" s="222" t="str">
        <f t="shared" si="7"/>
        <v>6716</v>
      </c>
      <c r="E156" s="222" t="str">
        <f t="shared" si="8"/>
        <v>900096716</v>
      </c>
      <c r="F156" s="4" t="s">
        <v>479</v>
      </c>
      <c r="G156" s="4" t="s">
        <v>551</v>
      </c>
      <c r="K156" s="3"/>
    </row>
    <row r="157" spans="1:11" x14ac:dyDescent="0.2">
      <c r="A157" s="2">
        <v>6717</v>
      </c>
      <c r="B157" s="3" t="s">
        <v>480</v>
      </c>
      <c r="C157" s="3" t="str">
        <f t="shared" si="9"/>
        <v>Michaelisgem.Ehringshausen</v>
      </c>
      <c r="D157" s="222" t="str">
        <f t="shared" si="7"/>
        <v>6717</v>
      </c>
      <c r="E157" s="222" t="str">
        <f t="shared" si="8"/>
        <v>900096717</v>
      </c>
      <c r="F157" s="4" t="s">
        <v>481</v>
      </c>
      <c r="G157" s="4" t="s">
        <v>551</v>
      </c>
      <c r="K157" s="3"/>
    </row>
    <row r="158" spans="1:11" x14ac:dyDescent="0.2">
      <c r="A158" s="2">
        <v>6718</v>
      </c>
      <c r="B158" s="3" t="s">
        <v>482</v>
      </c>
      <c r="C158" s="3" t="str">
        <f t="shared" si="9"/>
        <v>KGM Elbenrod</v>
      </c>
      <c r="D158" s="222" t="str">
        <f t="shared" si="7"/>
        <v>6718</v>
      </c>
      <c r="E158" s="222" t="str">
        <f t="shared" si="8"/>
        <v>900096718</v>
      </c>
      <c r="F158" s="4" t="s">
        <v>483</v>
      </c>
      <c r="G158" s="4" t="s">
        <v>551</v>
      </c>
      <c r="K158" s="3"/>
    </row>
    <row r="159" spans="1:11" x14ac:dyDescent="0.2">
      <c r="A159" s="2">
        <v>6720</v>
      </c>
      <c r="B159" s="3" t="s">
        <v>484</v>
      </c>
      <c r="C159" s="3" t="str">
        <f t="shared" si="9"/>
        <v>KGM Erbenhausen</v>
      </c>
      <c r="D159" s="222" t="str">
        <f t="shared" si="7"/>
        <v>6720</v>
      </c>
      <c r="E159" s="222" t="str">
        <f t="shared" si="8"/>
        <v>900096720</v>
      </c>
      <c r="F159" s="4" t="s">
        <v>485</v>
      </c>
      <c r="G159" s="4" t="s">
        <v>551</v>
      </c>
      <c r="K159" s="3"/>
    </row>
    <row r="160" spans="1:11" x14ac:dyDescent="0.2">
      <c r="A160" s="2">
        <v>6721</v>
      </c>
      <c r="B160" s="3" t="s">
        <v>486</v>
      </c>
      <c r="C160" s="3" t="str">
        <f t="shared" si="9"/>
        <v>Martin-Luther-Gem Ermenrod</v>
      </c>
      <c r="D160" s="222" t="str">
        <f t="shared" si="7"/>
        <v>6721</v>
      </c>
      <c r="E160" s="222" t="str">
        <f t="shared" si="8"/>
        <v>900096721</v>
      </c>
      <c r="F160" s="4" t="s">
        <v>487</v>
      </c>
      <c r="G160" s="4" t="s">
        <v>551</v>
      </c>
      <c r="K160" s="3"/>
    </row>
    <row r="161" spans="1:11" x14ac:dyDescent="0.2">
      <c r="A161" s="2">
        <v>6722</v>
      </c>
      <c r="B161" s="3" t="s">
        <v>488</v>
      </c>
      <c r="C161" s="3" t="str">
        <f t="shared" si="9"/>
        <v>KGM Eudorf</v>
      </c>
      <c r="D161" s="222" t="str">
        <f t="shared" si="7"/>
        <v>6722</v>
      </c>
      <c r="E161" s="222" t="str">
        <f t="shared" si="8"/>
        <v>900096722</v>
      </c>
      <c r="F161" s="4" t="s">
        <v>489</v>
      </c>
      <c r="G161" s="4" t="s">
        <v>551</v>
      </c>
      <c r="K161" s="3"/>
    </row>
    <row r="162" spans="1:11" x14ac:dyDescent="0.2">
      <c r="A162" s="2">
        <v>6723</v>
      </c>
      <c r="B162" s="3" t="s">
        <v>490</v>
      </c>
      <c r="C162" s="3" t="str">
        <f t="shared" si="9"/>
        <v>KGM Grebenau</v>
      </c>
      <c r="D162" s="222" t="str">
        <f t="shared" si="7"/>
        <v>6723</v>
      </c>
      <c r="E162" s="222" t="str">
        <f t="shared" si="8"/>
        <v>900096723</v>
      </c>
      <c r="F162" s="4" t="s">
        <v>491</v>
      </c>
      <c r="G162" s="4" t="s">
        <v>551</v>
      </c>
      <c r="K162" s="3"/>
    </row>
    <row r="163" spans="1:11" x14ac:dyDescent="0.2">
      <c r="A163" s="2">
        <v>6724</v>
      </c>
      <c r="B163" s="3" t="s">
        <v>492</v>
      </c>
      <c r="C163" s="3" t="str">
        <f t="shared" si="9"/>
        <v>KGM Groß-Felda</v>
      </c>
      <c r="D163" s="222" t="str">
        <f t="shared" si="7"/>
        <v>6724</v>
      </c>
      <c r="E163" s="222" t="str">
        <f t="shared" si="8"/>
        <v>900096724</v>
      </c>
      <c r="F163" s="4" t="s">
        <v>493</v>
      </c>
      <c r="G163" s="4" t="s">
        <v>551</v>
      </c>
      <c r="K163" s="3"/>
    </row>
    <row r="164" spans="1:11" x14ac:dyDescent="0.2">
      <c r="A164" s="2">
        <v>6725</v>
      </c>
      <c r="B164" s="3" t="s">
        <v>494</v>
      </c>
      <c r="C164" s="3" t="str">
        <f t="shared" si="9"/>
        <v>KGM Haarhausen</v>
      </c>
      <c r="D164" s="222" t="str">
        <f t="shared" si="7"/>
        <v>6725</v>
      </c>
      <c r="E164" s="222" t="str">
        <f t="shared" si="8"/>
        <v>900096725</v>
      </c>
      <c r="F164" s="4" t="s">
        <v>495</v>
      </c>
      <c r="G164" s="4" t="s">
        <v>551</v>
      </c>
      <c r="K164" s="3"/>
    </row>
    <row r="165" spans="1:11" x14ac:dyDescent="0.2">
      <c r="A165" s="2">
        <v>6727</v>
      </c>
      <c r="B165" s="3" t="s">
        <v>496</v>
      </c>
      <c r="C165" s="3" t="str">
        <f t="shared" si="9"/>
        <v>KGM Heidelbach</v>
      </c>
      <c r="D165" s="222" t="str">
        <f t="shared" si="7"/>
        <v>6727</v>
      </c>
      <c r="E165" s="222" t="str">
        <f t="shared" si="8"/>
        <v>900096727</v>
      </c>
      <c r="F165" s="4" t="s">
        <v>497</v>
      </c>
      <c r="G165" s="4" t="s">
        <v>551</v>
      </c>
      <c r="K165" s="3"/>
    </row>
    <row r="166" spans="1:11" x14ac:dyDescent="0.2">
      <c r="A166" s="2">
        <v>6728</v>
      </c>
      <c r="B166" s="3" t="s">
        <v>498</v>
      </c>
      <c r="C166" s="3" t="str">
        <f t="shared" si="9"/>
        <v>KGM Helpershain</v>
      </c>
      <c r="D166" s="222" t="str">
        <f t="shared" si="7"/>
        <v>6728</v>
      </c>
      <c r="E166" s="222" t="str">
        <f t="shared" si="8"/>
        <v>900096728</v>
      </c>
      <c r="F166" s="4" t="s">
        <v>499</v>
      </c>
      <c r="G166" s="4" t="s">
        <v>551</v>
      </c>
      <c r="K166" s="3"/>
    </row>
    <row r="167" spans="1:11" x14ac:dyDescent="0.2">
      <c r="A167" s="2">
        <v>6729</v>
      </c>
      <c r="B167" s="3" t="s">
        <v>500</v>
      </c>
      <c r="C167" s="3" t="str">
        <f t="shared" si="9"/>
        <v>KGM Homberg</v>
      </c>
      <c r="D167" s="222" t="str">
        <f t="shared" si="7"/>
        <v>6729</v>
      </c>
      <c r="E167" s="222" t="str">
        <f t="shared" si="8"/>
        <v>900096729</v>
      </c>
      <c r="F167" s="4" t="s">
        <v>501</v>
      </c>
      <c r="G167" s="4" t="s">
        <v>551</v>
      </c>
      <c r="K167" s="3"/>
    </row>
    <row r="168" spans="1:11" x14ac:dyDescent="0.2">
      <c r="A168" s="2">
        <v>6730</v>
      </c>
      <c r="B168" s="3" t="s">
        <v>502</v>
      </c>
      <c r="C168" s="3" t="str">
        <f t="shared" si="9"/>
        <v>KGM Hopfgarten</v>
      </c>
      <c r="D168" s="222" t="str">
        <f t="shared" si="7"/>
        <v>6730</v>
      </c>
      <c r="E168" s="222" t="str">
        <f t="shared" si="8"/>
        <v>900096730</v>
      </c>
      <c r="F168" s="4" t="s">
        <v>503</v>
      </c>
      <c r="G168" s="4" t="s">
        <v>551</v>
      </c>
      <c r="K168" s="3"/>
    </row>
    <row r="169" spans="1:11" x14ac:dyDescent="0.2">
      <c r="A169" s="2">
        <v>6731</v>
      </c>
      <c r="B169" s="3" t="s">
        <v>504</v>
      </c>
      <c r="C169" s="3" t="str">
        <f t="shared" si="9"/>
        <v>KGM Kestrich</v>
      </c>
      <c r="D169" s="222" t="str">
        <f t="shared" si="7"/>
        <v>6731</v>
      </c>
      <c r="E169" s="222" t="str">
        <f t="shared" si="8"/>
        <v>900096731</v>
      </c>
      <c r="F169" s="4" t="s">
        <v>505</v>
      </c>
      <c r="G169" s="4" t="s">
        <v>551</v>
      </c>
      <c r="K169" s="3"/>
    </row>
    <row r="170" spans="1:11" x14ac:dyDescent="0.2">
      <c r="A170" s="2">
        <v>6732</v>
      </c>
      <c r="B170" s="3" t="s">
        <v>506</v>
      </c>
      <c r="C170" s="3" t="str">
        <f t="shared" si="9"/>
        <v>KGM Kirtorf</v>
      </c>
      <c r="D170" s="222" t="str">
        <f t="shared" si="7"/>
        <v>6732</v>
      </c>
      <c r="E170" s="222" t="str">
        <f t="shared" si="8"/>
        <v>900096732</v>
      </c>
      <c r="F170" s="4" t="s">
        <v>507</v>
      </c>
      <c r="G170" s="4" t="s">
        <v>551</v>
      </c>
      <c r="K170" s="3"/>
    </row>
    <row r="171" spans="1:11" x14ac:dyDescent="0.2">
      <c r="A171" s="2">
        <v>6733</v>
      </c>
      <c r="B171" s="3" t="s">
        <v>508</v>
      </c>
      <c r="C171" s="3" t="str">
        <f t="shared" si="9"/>
        <v>KGM Köddingen</v>
      </c>
      <c r="D171" s="222" t="str">
        <f t="shared" si="7"/>
        <v>6733</v>
      </c>
      <c r="E171" s="222" t="str">
        <f t="shared" si="8"/>
        <v>900096733</v>
      </c>
      <c r="F171" s="4" t="s">
        <v>509</v>
      </c>
      <c r="G171" s="4" t="s">
        <v>551</v>
      </c>
      <c r="K171" s="3"/>
    </row>
    <row r="172" spans="1:11" x14ac:dyDescent="0.2">
      <c r="A172" s="2">
        <v>6734</v>
      </c>
      <c r="B172" s="3" t="s">
        <v>510</v>
      </c>
      <c r="C172" s="3" t="str">
        <f t="shared" si="9"/>
        <v>KGM Lehrbach</v>
      </c>
      <c r="D172" s="222" t="str">
        <f t="shared" si="7"/>
        <v>6734</v>
      </c>
      <c r="E172" s="222" t="str">
        <f t="shared" si="8"/>
        <v>900096734</v>
      </c>
      <c r="F172" s="4" t="s">
        <v>511</v>
      </c>
      <c r="G172" s="4" t="s">
        <v>551</v>
      </c>
      <c r="K172" s="3"/>
    </row>
    <row r="173" spans="1:11" x14ac:dyDescent="0.2">
      <c r="A173" s="2">
        <v>6735</v>
      </c>
      <c r="B173" s="3" t="s">
        <v>512</v>
      </c>
      <c r="C173" s="3" t="str">
        <f t="shared" si="9"/>
        <v>KGM Leusel</v>
      </c>
      <c r="D173" s="222" t="str">
        <f t="shared" si="7"/>
        <v>6735</v>
      </c>
      <c r="E173" s="222" t="str">
        <f t="shared" si="8"/>
        <v>900096735</v>
      </c>
      <c r="F173" s="4" t="s">
        <v>513</v>
      </c>
      <c r="G173" s="4" t="s">
        <v>551</v>
      </c>
      <c r="K173" s="3"/>
    </row>
    <row r="174" spans="1:11" x14ac:dyDescent="0.2">
      <c r="A174" s="2">
        <v>6736</v>
      </c>
      <c r="B174" s="3" t="s">
        <v>514</v>
      </c>
      <c r="C174" s="3" t="str">
        <f t="shared" si="9"/>
        <v>KGM Maulbach</v>
      </c>
      <c r="D174" s="222" t="str">
        <f t="shared" si="7"/>
        <v>6736</v>
      </c>
      <c r="E174" s="222" t="str">
        <f t="shared" si="8"/>
        <v>900096736</v>
      </c>
      <c r="F174" s="4" t="s">
        <v>515</v>
      </c>
      <c r="G174" s="4" t="s">
        <v>551</v>
      </c>
      <c r="K174" s="3"/>
    </row>
    <row r="175" spans="1:11" x14ac:dyDescent="0.2">
      <c r="A175" s="2">
        <v>6737</v>
      </c>
      <c r="B175" s="3" t="s">
        <v>516</v>
      </c>
      <c r="C175" s="3" t="str">
        <f t="shared" si="9"/>
        <v>KGM Katharinengemeinde Gemünden</v>
      </c>
      <c r="D175" s="222" t="str">
        <f t="shared" si="7"/>
        <v>6737</v>
      </c>
      <c r="E175" s="222" t="str">
        <f t="shared" si="8"/>
        <v>900096737</v>
      </c>
      <c r="F175" s="4" t="s">
        <v>517</v>
      </c>
      <c r="G175" s="4" t="s">
        <v>551</v>
      </c>
      <c r="K175" s="3"/>
    </row>
    <row r="176" spans="1:11" x14ac:dyDescent="0.2">
      <c r="A176" s="2">
        <v>6738</v>
      </c>
      <c r="B176" s="3" t="s">
        <v>518</v>
      </c>
      <c r="C176" s="3" t="str">
        <f t="shared" si="9"/>
        <v>KGM Nieder-Ofleiden</v>
      </c>
      <c r="D176" s="222" t="str">
        <f t="shared" si="7"/>
        <v>6738</v>
      </c>
      <c r="E176" s="222" t="str">
        <f t="shared" si="8"/>
        <v>900096738</v>
      </c>
      <c r="F176" s="4" t="s">
        <v>519</v>
      </c>
      <c r="G176" s="4" t="s">
        <v>551</v>
      </c>
      <c r="K176" s="3"/>
    </row>
    <row r="177" spans="1:11" x14ac:dyDescent="0.2">
      <c r="A177" s="2">
        <v>6739</v>
      </c>
      <c r="B177" s="3" t="s">
        <v>520</v>
      </c>
      <c r="C177" s="3" t="str">
        <f t="shared" si="9"/>
        <v>KGM Nieder-Ohmen</v>
      </c>
      <c r="D177" s="222" t="str">
        <f t="shared" si="7"/>
        <v>6739</v>
      </c>
      <c r="E177" s="222" t="str">
        <f t="shared" si="8"/>
        <v>900096739</v>
      </c>
      <c r="F177" s="4" t="s">
        <v>521</v>
      </c>
      <c r="G177" s="4" t="s">
        <v>551</v>
      </c>
      <c r="K177" s="3"/>
    </row>
    <row r="178" spans="1:11" x14ac:dyDescent="0.2">
      <c r="A178" s="2">
        <v>6740</v>
      </c>
      <c r="B178" s="3" t="s">
        <v>522</v>
      </c>
      <c r="C178" s="3" t="str">
        <f t="shared" si="9"/>
        <v>KGM Ober-Breidenbach</v>
      </c>
      <c r="D178" s="222" t="str">
        <f t="shared" si="7"/>
        <v>6740</v>
      </c>
      <c r="E178" s="222" t="str">
        <f t="shared" si="8"/>
        <v>900096740</v>
      </c>
      <c r="F178" s="4" t="s">
        <v>523</v>
      </c>
      <c r="G178" s="4" t="s">
        <v>551</v>
      </c>
      <c r="K178" s="3"/>
    </row>
    <row r="179" spans="1:11" x14ac:dyDescent="0.2">
      <c r="A179" s="2">
        <v>6741</v>
      </c>
      <c r="B179" s="3" t="s">
        <v>524</v>
      </c>
      <c r="C179" s="3" t="str">
        <f t="shared" si="9"/>
        <v>KGM Ober-Gleen</v>
      </c>
      <c r="D179" s="222" t="str">
        <f t="shared" si="7"/>
        <v>6741</v>
      </c>
      <c r="E179" s="222" t="str">
        <f t="shared" si="8"/>
        <v>900096741</v>
      </c>
      <c r="F179" s="4" t="s">
        <v>525</v>
      </c>
      <c r="G179" s="4" t="s">
        <v>551</v>
      </c>
      <c r="K179" s="3"/>
    </row>
    <row r="180" spans="1:11" x14ac:dyDescent="0.2">
      <c r="A180" s="2">
        <v>6742</v>
      </c>
      <c r="B180" s="3" t="s">
        <v>526</v>
      </c>
      <c r="C180" s="3" t="str">
        <f t="shared" si="9"/>
        <v>KGM Ober-Ofleiden-Gontersh</v>
      </c>
      <c r="D180" s="222" t="str">
        <f t="shared" si="7"/>
        <v>6742</v>
      </c>
      <c r="E180" s="222" t="str">
        <f t="shared" si="8"/>
        <v>900096742</v>
      </c>
      <c r="F180" s="4" t="s">
        <v>527</v>
      </c>
      <c r="G180" s="4" t="s">
        <v>551</v>
      </c>
      <c r="K180" s="3"/>
    </row>
    <row r="181" spans="1:11" x14ac:dyDescent="0.2">
      <c r="A181" s="2">
        <v>6743</v>
      </c>
      <c r="B181" s="3" t="s">
        <v>528</v>
      </c>
      <c r="C181" s="3" t="str">
        <f t="shared" si="9"/>
        <v>KGM Oberrod</v>
      </c>
      <c r="D181" s="222" t="str">
        <f t="shared" si="7"/>
        <v>6743</v>
      </c>
      <c r="E181" s="222" t="str">
        <f t="shared" si="8"/>
        <v>900096743</v>
      </c>
      <c r="F181" s="4" t="s">
        <v>529</v>
      </c>
      <c r="G181" s="4" t="s">
        <v>551</v>
      </c>
      <c r="K181" s="3"/>
    </row>
    <row r="182" spans="1:11" x14ac:dyDescent="0.2">
      <c r="A182" s="2">
        <v>6744</v>
      </c>
      <c r="B182" s="3" t="s">
        <v>530</v>
      </c>
      <c r="C182" s="3" t="str">
        <f t="shared" si="9"/>
        <v>KGM Romrod</v>
      </c>
      <c r="D182" s="222" t="str">
        <f t="shared" si="7"/>
        <v>6744</v>
      </c>
      <c r="E182" s="222" t="str">
        <f t="shared" si="8"/>
        <v>900096744</v>
      </c>
      <c r="F182" s="4" t="s">
        <v>531</v>
      </c>
      <c r="G182" s="4" t="s">
        <v>551</v>
      </c>
      <c r="K182" s="3"/>
    </row>
    <row r="183" spans="1:11" x14ac:dyDescent="0.2">
      <c r="A183" s="2">
        <v>6745</v>
      </c>
      <c r="B183" s="3" t="s">
        <v>532</v>
      </c>
      <c r="C183" s="3" t="str">
        <f t="shared" si="9"/>
        <v>Martinsgemeinde Rülfenrod</v>
      </c>
      <c r="D183" s="222" t="str">
        <f t="shared" si="7"/>
        <v>6745</v>
      </c>
      <c r="E183" s="222" t="str">
        <f t="shared" si="8"/>
        <v>900096745</v>
      </c>
      <c r="F183" s="4" t="s">
        <v>533</v>
      </c>
      <c r="G183" s="4" t="s">
        <v>551</v>
      </c>
      <c r="K183" s="3"/>
    </row>
    <row r="184" spans="1:11" x14ac:dyDescent="0.2">
      <c r="A184" s="2">
        <v>6747</v>
      </c>
      <c r="B184" s="3" t="s">
        <v>534</v>
      </c>
      <c r="C184" s="3" t="str">
        <f t="shared" si="9"/>
        <v>KGM Schwabenrod</v>
      </c>
      <c r="D184" s="222" t="str">
        <f t="shared" si="7"/>
        <v>6747</v>
      </c>
      <c r="E184" s="222" t="str">
        <f t="shared" si="8"/>
        <v>900096747</v>
      </c>
      <c r="F184" s="4" t="s">
        <v>535</v>
      </c>
      <c r="G184" s="4" t="s">
        <v>551</v>
      </c>
      <c r="K184" s="3"/>
    </row>
    <row r="185" spans="1:11" x14ac:dyDescent="0.2">
      <c r="A185" s="2">
        <v>6748</v>
      </c>
      <c r="B185" s="3" t="s">
        <v>536</v>
      </c>
      <c r="C185" s="3" t="str">
        <f t="shared" si="9"/>
        <v>KGM Schwarz</v>
      </c>
      <c r="D185" s="222" t="str">
        <f t="shared" si="7"/>
        <v>6748</v>
      </c>
      <c r="E185" s="222" t="str">
        <f t="shared" si="8"/>
        <v>900096748</v>
      </c>
      <c r="F185" s="4" t="s">
        <v>537</v>
      </c>
      <c r="G185" s="4" t="s">
        <v>551</v>
      </c>
      <c r="K185" s="3"/>
    </row>
    <row r="186" spans="1:11" x14ac:dyDescent="0.2">
      <c r="A186" s="2">
        <v>6749</v>
      </c>
      <c r="B186" s="3" t="s">
        <v>538</v>
      </c>
      <c r="C186" s="3" t="str">
        <f t="shared" si="9"/>
        <v>KGM Storndorf</v>
      </c>
      <c r="D186" s="222" t="str">
        <f t="shared" si="7"/>
        <v>6749</v>
      </c>
      <c r="E186" s="222" t="str">
        <f t="shared" si="8"/>
        <v>900096749</v>
      </c>
      <c r="F186" s="4" t="s">
        <v>539</v>
      </c>
      <c r="G186" s="4" t="s">
        <v>551</v>
      </c>
      <c r="K186" s="3"/>
    </row>
    <row r="187" spans="1:11" x14ac:dyDescent="0.2">
      <c r="A187" s="2">
        <v>6750</v>
      </c>
      <c r="B187" s="3" t="s">
        <v>540</v>
      </c>
      <c r="C187" s="3" t="str">
        <f t="shared" si="9"/>
        <v>KGM Stumpertenrod</v>
      </c>
      <c r="D187" s="222" t="str">
        <f t="shared" si="7"/>
        <v>6750</v>
      </c>
      <c r="E187" s="222" t="str">
        <f t="shared" si="8"/>
        <v>900096750</v>
      </c>
      <c r="F187" s="4" t="s">
        <v>541</v>
      </c>
      <c r="G187" s="4" t="s">
        <v>551</v>
      </c>
      <c r="K187" s="3"/>
    </row>
    <row r="188" spans="1:11" x14ac:dyDescent="0.2">
      <c r="A188" s="2">
        <v>6751</v>
      </c>
      <c r="B188" s="3" t="s">
        <v>542</v>
      </c>
      <c r="C188" s="3" t="str">
        <f t="shared" si="9"/>
        <v>KGM Udenhausen</v>
      </c>
      <c r="D188" s="222" t="str">
        <f t="shared" si="7"/>
        <v>6751</v>
      </c>
      <c r="E188" s="222" t="str">
        <f t="shared" si="8"/>
        <v>900096751</v>
      </c>
      <c r="F188" s="4" t="s">
        <v>543</v>
      </c>
      <c r="G188" s="4" t="s">
        <v>551</v>
      </c>
      <c r="K188" s="3"/>
    </row>
    <row r="189" spans="1:11" x14ac:dyDescent="0.2">
      <c r="A189" s="2">
        <v>6752</v>
      </c>
      <c r="B189" s="3" t="s">
        <v>544</v>
      </c>
      <c r="C189" s="3" t="str">
        <f t="shared" si="9"/>
        <v>KGM Wahlen</v>
      </c>
      <c r="D189" s="222" t="str">
        <f t="shared" si="7"/>
        <v>6752</v>
      </c>
      <c r="E189" s="222" t="str">
        <f t="shared" si="8"/>
        <v>900096752</v>
      </c>
      <c r="F189" s="4" t="s">
        <v>545</v>
      </c>
      <c r="G189" s="4" t="s">
        <v>551</v>
      </c>
      <c r="K189" s="3"/>
    </row>
    <row r="190" spans="1:11" x14ac:dyDescent="0.2">
      <c r="A190" s="2">
        <v>6754</v>
      </c>
      <c r="B190" s="3" t="s">
        <v>546</v>
      </c>
      <c r="C190" s="3" t="str">
        <f t="shared" si="9"/>
        <v>KGM Windhausen</v>
      </c>
      <c r="D190" s="222" t="str">
        <f t="shared" si="7"/>
        <v>6754</v>
      </c>
      <c r="E190" s="222" t="str">
        <f t="shared" si="8"/>
        <v>900096754</v>
      </c>
      <c r="F190" s="4" t="s">
        <v>547</v>
      </c>
      <c r="G190" s="4" t="s">
        <v>551</v>
      </c>
      <c r="K190" s="3"/>
    </row>
    <row r="191" spans="1:11" x14ac:dyDescent="0.2">
      <c r="A191" s="2">
        <v>6755</v>
      </c>
      <c r="B191" s="3" t="s">
        <v>548</v>
      </c>
      <c r="C191" s="3" t="str">
        <f t="shared" si="9"/>
        <v>KGM Zell</v>
      </c>
      <c r="D191" s="222" t="str">
        <f t="shared" si="7"/>
        <v>6755</v>
      </c>
      <c r="E191" s="222" t="str">
        <f t="shared" si="8"/>
        <v>900096755</v>
      </c>
      <c r="F191" s="4" t="s">
        <v>549</v>
      </c>
      <c r="G191" s="4" t="s">
        <v>551</v>
      </c>
      <c r="K191" s="3"/>
    </row>
    <row r="192" spans="1:11" x14ac:dyDescent="0.2">
      <c r="A192" s="1">
        <v>6770</v>
      </c>
      <c r="B192" s="3" t="s">
        <v>550</v>
      </c>
      <c r="C192" s="3" t="s">
        <v>550</v>
      </c>
      <c r="D192" s="222" t="str">
        <f t="shared" si="7"/>
        <v>6770</v>
      </c>
      <c r="E192" s="222" t="str">
        <f t="shared" si="8"/>
        <v>900096770</v>
      </c>
      <c r="F192" s="4">
        <v>900096770</v>
      </c>
      <c r="G192" s="4" t="s">
        <v>551</v>
      </c>
      <c r="K192" s="3"/>
    </row>
    <row r="193" spans="1:11" x14ac:dyDescent="0.2">
      <c r="A193" s="2">
        <v>6798</v>
      </c>
      <c r="B193" s="3" t="s">
        <v>551</v>
      </c>
      <c r="C193" s="3" t="str">
        <f t="shared" ref="C193:C216" si="10">MID(B193,5,100)</f>
        <v>Dekanat Alsfeld</v>
      </c>
      <c r="D193" s="222" t="str">
        <f t="shared" si="7"/>
        <v>6798</v>
      </c>
      <c r="E193" s="222" t="str">
        <f t="shared" si="8"/>
        <v>900096798</v>
      </c>
      <c r="F193" s="4" t="s">
        <v>552</v>
      </c>
      <c r="G193" s="4" t="s">
        <v>551</v>
      </c>
      <c r="K193" s="3"/>
    </row>
    <row r="194" spans="1:11" x14ac:dyDescent="0.2">
      <c r="A194" s="1">
        <v>9901</v>
      </c>
      <c r="B194" s="3" t="s">
        <v>553</v>
      </c>
      <c r="C194" s="3" t="str">
        <f t="shared" si="10"/>
        <v>tung Oberer Fuldagrund</v>
      </c>
      <c r="D194" s="222" t="str">
        <f t="shared" ref="D194:D246" si="11">IF(LEN($A194)&lt;=4,LEFT(TEXT($A194,"0000"),4),LEFT(TEXT($A194,"000000"),4))</f>
        <v>9901</v>
      </c>
      <c r="E194" s="222" t="str">
        <f t="shared" si="8"/>
        <v>900099901</v>
      </c>
      <c r="F194" s="4" t="s">
        <v>554</v>
      </c>
      <c r="G194" s="4" t="s">
        <v>394</v>
      </c>
      <c r="K194" s="3"/>
    </row>
    <row r="195" spans="1:11" x14ac:dyDescent="0.2">
      <c r="A195" s="1">
        <v>9902</v>
      </c>
      <c r="B195" s="3" t="s">
        <v>555</v>
      </c>
      <c r="C195" s="3" t="str">
        <f t="shared" si="10"/>
        <v>ust-Gluck-Stiftung Queck</v>
      </c>
      <c r="D195" s="222" t="str">
        <f t="shared" si="11"/>
        <v>9902</v>
      </c>
      <c r="E195" s="222" t="str">
        <f t="shared" ref="E195:E246" si="12">$I$1&amp;$D195</f>
        <v>900099902</v>
      </c>
      <c r="F195" s="4" t="s">
        <v>556</v>
      </c>
      <c r="G195" s="4" t="s">
        <v>394</v>
      </c>
      <c r="K195" s="3"/>
    </row>
    <row r="196" spans="1:11" x14ac:dyDescent="0.2">
      <c r="A196" s="1">
        <v>9903</v>
      </c>
      <c r="B196" s="3" t="s">
        <v>557</v>
      </c>
      <c r="C196" s="3" t="str">
        <f t="shared" si="10"/>
        <v>indestiftung Schlitz</v>
      </c>
      <c r="D196" s="222" t="str">
        <f t="shared" si="11"/>
        <v>9903</v>
      </c>
      <c r="E196" s="222" t="str">
        <f t="shared" si="12"/>
        <v>900099903</v>
      </c>
      <c r="F196" s="4" t="s">
        <v>558</v>
      </c>
      <c r="G196" s="4" t="s">
        <v>394</v>
      </c>
      <c r="K196" s="3"/>
    </row>
    <row r="197" spans="1:11" x14ac:dyDescent="0.2">
      <c r="A197" s="1">
        <v>9904</v>
      </c>
      <c r="B197" s="3" t="s">
        <v>559</v>
      </c>
      <c r="C197" s="3" t="str">
        <f t="shared" si="10"/>
        <v>oniestiftung Schlitz</v>
      </c>
      <c r="D197" s="222" t="str">
        <f t="shared" si="11"/>
        <v>9904</v>
      </c>
      <c r="E197" s="222" t="str">
        <f t="shared" si="12"/>
        <v>900099904</v>
      </c>
      <c r="F197" s="4" t="s">
        <v>560</v>
      </c>
      <c r="G197" s="4" t="s">
        <v>394</v>
      </c>
      <c r="K197" s="3"/>
    </row>
    <row r="198" spans="1:11" x14ac:dyDescent="0.2">
      <c r="A198" s="1">
        <v>9905</v>
      </c>
      <c r="B198" s="3" t="s">
        <v>561</v>
      </c>
      <c r="C198" s="3" t="str">
        <f t="shared" si="10"/>
        <v>tung Hill Heidelbach</v>
      </c>
      <c r="D198" s="222" t="str">
        <f t="shared" si="11"/>
        <v>9905</v>
      </c>
      <c r="E198" s="222" t="str">
        <f t="shared" si="12"/>
        <v>900099905</v>
      </c>
      <c r="F198" s="4" t="s">
        <v>562</v>
      </c>
      <c r="G198" s="4" t="s">
        <v>551</v>
      </c>
      <c r="K198" s="3"/>
    </row>
    <row r="199" spans="1:11" x14ac:dyDescent="0.2">
      <c r="A199" s="1">
        <v>9906</v>
      </c>
      <c r="B199" s="3" t="s">
        <v>563</v>
      </c>
      <c r="C199" s="3" t="str">
        <f t="shared" si="10"/>
        <v>tung mit den müden Reden</v>
      </c>
      <c r="D199" s="222" t="str">
        <f t="shared" si="11"/>
        <v>9906</v>
      </c>
      <c r="E199" s="222" t="str">
        <f t="shared" si="12"/>
        <v>900099906</v>
      </c>
      <c r="F199" s="4" t="s">
        <v>564</v>
      </c>
      <c r="G199" s="4" t="s">
        <v>551</v>
      </c>
      <c r="K199" s="3"/>
    </row>
    <row r="200" spans="1:11" x14ac:dyDescent="0.2">
      <c r="A200" s="1">
        <v>9907</v>
      </c>
      <c r="B200" s="3" t="s">
        <v>565</v>
      </c>
      <c r="C200" s="3" t="str">
        <f t="shared" si="10"/>
        <v>abethenstiftung Laubach</v>
      </c>
      <c r="D200" s="222" t="str">
        <f t="shared" si="11"/>
        <v>9907</v>
      </c>
      <c r="E200" s="222" t="str">
        <f t="shared" si="12"/>
        <v>900099907</v>
      </c>
      <c r="F200" s="4" t="s">
        <v>566</v>
      </c>
      <c r="G200" s="4" t="s">
        <v>619</v>
      </c>
      <c r="K200" s="3"/>
    </row>
    <row r="201" spans="1:11" x14ac:dyDescent="0.2">
      <c r="A201" s="1">
        <v>9908</v>
      </c>
      <c r="B201" s="3" t="s">
        <v>567</v>
      </c>
      <c r="C201" s="3" t="str">
        <f t="shared" si="10"/>
        <v>lienstiftung Hungen</v>
      </c>
      <c r="D201" s="222" t="str">
        <f t="shared" si="11"/>
        <v>9908</v>
      </c>
      <c r="E201" s="222" t="str">
        <f t="shared" si="12"/>
        <v>900099908</v>
      </c>
      <c r="F201" s="4" t="s">
        <v>568</v>
      </c>
      <c r="G201" s="4" t="s">
        <v>288</v>
      </c>
      <c r="K201" s="3"/>
    </row>
    <row r="202" spans="1:11" x14ac:dyDescent="0.2">
      <c r="A202" s="1">
        <v>9909</v>
      </c>
      <c r="B202" s="3" t="s">
        <v>569</v>
      </c>
      <c r="C202" s="3" t="str">
        <f t="shared" si="10"/>
        <v xml:space="preserve"> Stein Stiftung Villingen</v>
      </c>
      <c r="D202" s="222" t="str">
        <f t="shared" si="11"/>
        <v>9909</v>
      </c>
      <c r="E202" s="222" t="str">
        <f t="shared" si="12"/>
        <v>900099909</v>
      </c>
      <c r="F202" s="4" t="s">
        <v>570</v>
      </c>
      <c r="G202" s="4" t="s">
        <v>288</v>
      </c>
      <c r="K202" s="3"/>
    </row>
    <row r="203" spans="1:11" x14ac:dyDescent="0.2">
      <c r="A203" s="1">
        <v>9910</v>
      </c>
      <c r="B203" s="3" t="s">
        <v>571</v>
      </c>
      <c r="C203" s="3" t="str">
        <f t="shared" si="10"/>
        <v>tung KGM Garbenteich</v>
      </c>
      <c r="D203" s="222" t="str">
        <f t="shared" si="11"/>
        <v>9910</v>
      </c>
      <c r="E203" s="222" t="str">
        <f t="shared" si="12"/>
        <v>900099910</v>
      </c>
      <c r="F203" s="4" t="s">
        <v>572</v>
      </c>
      <c r="G203" s="4" t="s">
        <v>459</v>
      </c>
      <c r="K203" s="3"/>
    </row>
    <row r="204" spans="1:11" x14ac:dyDescent="0.2">
      <c r="A204" s="1">
        <v>9911</v>
      </c>
      <c r="B204" s="3" t="s">
        <v>573</v>
      </c>
      <c r="C204" s="3" t="str">
        <f t="shared" si="10"/>
        <v>Stiftung Gießen</v>
      </c>
      <c r="D204" s="222" t="str">
        <f t="shared" si="11"/>
        <v>9911</v>
      </c>
      <c r="E204" s="222" t="str">
        <f t="shared" si="12"/>
        <v>900099911</v>
      </c>
      <c r="F204" s="4" t="s">
        <v>574</v>
      </c>
      <c r="G204" s="4" t="s">
        <v>459</v>
      </c>
      <c r="K204" s="3"/>
    </row>
    <row r="205" spans="1:11" x14ac:dyDescent="0.2">
      <c r="A205" s="225">
        <v>281901</v>
      </c>
      <c r="B205" s="3" t="s">
        <v>575</v>
      </c>
      <c r="C205" s="3" t="str">
        <f t="shared" si="10"/>
        <v>Ev. Kita Sonnenstern Ober-Ohmen</v>
      </c>
      <c r="D205" s="222" t="str">
        <f t="shared" si="11"/>
        <v>2819</v>
      </c>
      <c r="E205" s="222" t="str">
        <f t="shared" si="12"/>
        <v>900092819</v>
      </c>
      <c r="F205" s="4" t="s">
        <v>213</v>
      </c>
      <c r="G205" s="4" t="s">
        <v>248</v>
      </c>
      <c r="K205" s="3"/>
    </row>
    <row r="206" spans="1:11" x14ac:dyDescent="0.2">
      <c r="A206" s="225">
        <v>321001</v>
      </c>
      <c r="B206" s="3" t="s">
        <v>576</v>
      </c>
      <c r="C206" s="3" t="str">
        <f t="shared" si="10"/>
        <v>Kita Grassee Hungen</v>
      </c>
      <c r="D206" s="222" t="str">
        <f t="shared" si="11"/>
        <v>3210</v>
      </c>
      <c r="E206" s="222" t="str">
        <f t="shared" si="12"/>
        <v>900093210</v>
      </c>
      <c r="F206" s="4" t="s">
        <v>265</v>
      </c>
      <c r="G206" s="4" t="s">
        <v>288</v>
      </c>
      <c r="K206" s="3"/>
    </row>
    <row r="207" spans="1:11" x14ac:dyDescent="0.2">
      <c r="A207" s="225">
        <v>321002</v>
      </c>
      <c r="B207" s="3" t="s">
        <v>577</v>
      </c>
      <c r="C207" s="3" t="str">
        <f t="shared" si="10"/>
        <v>Kita Prinz Wittgenstein Langd</v>
      </c>
      <c r="D207" s="222" t="str">
        <f t="shared" si="11"/>
        <v>3210</v>
      </c>
      <c r="E207" s="222" t="str">
        <f t="shared" si="12"/>
        <v>900093210</v>
      </c>
      <c r="F207" s="4" t="s">
        <v>265</v>
      </c>
      <c r="G207" s="4" t="s">
        <v>288</v>
      </c>
      <c r="K207" s="3"/>
    </row>
    <row r="208" spans="1:11" x14ac:dyDescent="0.2">
      <c r="A208" s="225">
        <v>321201</v>
      </c>
      <c r="B208" s="3" t="s">
        <v>578</v>
      </c>
      <c r="C208" s="3" t="str">
        <f t="shared" si="10"/>
        <v>Kita Langsdorf</v>
      </c>
      <c r="D208" s="222" t="str">
        <f t="shared" si="11"/>
        <v>3212</v>
      </c>
      <c r="E208" s="222" t="str">
        <f t="shared" si="12"/>
        <v>900093212</v>
      </c>
      <c r="F208" s="4" t="s">
        <v>269</v>
      </c>
      <c r="G208" s="4" t="s">
        <v>288</v>
      </c>
      <c r="K208" s="3"/>
    </row>
    <row r="209" spans="1:11" x14ac:dyDescent="0.2">
      <c r="A209" s="225">
        <v>350601</v>
      </c>
      <c r="B209" s="3" t="s">
        <v>579</v>
      </c>
      <c r="C209" s="3" t="str">
        <f t="shared" si="10"/>
        <v>Kita Burkhardsfelden</v>
      </c>
      <c r="D209" s="222" t="str">
        <f t="shared" si="11"/>
        <v>3506</v>
      </c>
      <c r="E209" s="222" t="str">
        <f t="shared" si="12"/>
        <v>900093506</v>
      </c>
      <c r="F209" s="4" t="s">
        <v>299</v>
      </c>
      <c r="G209" s="4" t="s">
        <v>321</v>
      </c>
      <c r="K209" s="3"/>
    </row>
    <row r="210" spans="1:11" x14ac:dyDescent="0.2">
      <c r="A210" s="225">
        <v>620401</v>
      </c>
      <c r="B210" s="3" t="s">
        <v>580</v>
      </c>
      <c r="C210" s="3" t="str">
        <f t="shared" si="10"/>
        <v>Kita Angersbach</v>
      </c>
      <c r="D210" s="222" t="str">
        <f t="shared" si="11"/>
        <v>6204</v>
      </c>
      <c r="E210" s="222" t="str">
        <f t="shared" si="12"/>
        <v>900096204</v>
      </c>
      <c r="F210" s="4" t="s">
        <v>328</v>
      </c>
      <c r="G210" s="4" t="s">
        <v>394</v>
      </c>
      <c r="K210" s="3"/>
    </row>
    <row r="211" spans="1:11" x14ac:dyDescent="0.2">
      <c r="A211" s="225">
        <v>620402</v>
      </c>
      <c r="B211" s="3" t="s">
        <v>581</v>
      </c>
      <c r="C211" s="3" t="str">
        <f t="shared" si="10"/>
        <v>Kita Spatzennest Landenhausen</v>
      </c>
      <c r="D211" s="222" t="str">
        <f t="shared" si="11"/>
        <v>6204</v>
      </c>
      <c r="E211" s="222" t="str">
        <f t="shared" si="12"/>
        <v>900096204</v>
      </c>
      <c r="F211" s="4" t="s">
        <v>328</v>
      </c>
      <c r="G211" s="4" t="s">
        <v>394</v>
      </c>
      <c r="K211" s="3"/>
    </row>
    <row r="212" spans="1:11" x14ac:dyDescent="0.2">
      <c r="A212" s="225">
        <v>620801</v>
      </c>
      <c r="B212" s="3" t="s">
        <v>582</v>
      </c>
      <c r="C212" s="3" t="str">
        <f t="shared" si="10"/>
        <v>Kita Regenbogenland Engelrod</v>
      </c>
      <c r="D212" s="222" t="str">
        <f t="shared" si="11"/>
        <v>6208</v>
      </c>
      <c r="E212" s="222" t="str">
        <f t="shared" si="12"/>
        <v>900096208</v>
      </c>
      <c r="F212" s="4" t="s">
        <v>336</v>
      </c>
      <c r="G212" s="4" t="s">
        <v>394</v>
      </c>
      <c r="K212" s="3"/>
    </row>
    <row r="213" spans="1:11" x14ac:dyDescent="0.2">
      <c r="A213" s="225">
        <v>622301</v>
      </c>
      <c r="B213" s="3" t="s">
        <v>583</v>
      </c>
      <c r="C213" s="3" t="str">
        <f t="shared" si="10"/>
        <v>Kita Lanzenhain</v>
      </c>
      <c r="D213" s="222" t="str">
        <f t="shared" si="11"/>
        <v>6223</v>
      </c>
      <c r="E213" s="222" t="str">
        <f t="shared" si="12"/>
        <v>900096223</v>
      </c>
      <c r="F213" s="4" t="s">
        <v>362</v>
      </c>
      <c r="G213" s="4" t="s">
        <v>394</v>
      </c>
      <c r="K213" s="3"/>
    </row>
    <row r="214" spans="1:11" x14ac:dyDescent="0.2">
      <c r="A214" s="225">
        <v>622401</v>
      </c>
      <c r="B214" s="3" t="s">
        <v>584</v>
      </c>
      <c r="C214" s="3" t="str">
        <f t="shared" si="10"/>
        <v>Kita Lauterbach</v>
      </c>
      <c r="D214" s="222" t="str">
        <f t="shared" si="11"/>
        <v>6224</v>
      </c>
      <c r="E214" s="222" t="str">
        <f t="shared" si="12"/>
        <v>900096224</v>
      </c>
      <c r="F214" s="4" t="s">
        <v>364</v>
      </c>
      <c r="G214" s="4" t="s">
        <v>394</v>
      </c>
      <c r="K214" s="3"/>
    </row>
    <row r="215" spans="1:11" x14ac:dyDescent="0.2">
      <c r="A215" s="225">
        <v>623601</v>
      </c>
      <c r="B215" s="3" t="s">
        <v>585</v>
      </c>
      <c r="C215" s="3" t="str">
        <f t="shared" si="10"/>
        <v>Kita Stockhausen</v>
      </c>
      <c r="D215" s="222" t="str">
        <f t="shared" si="11"/>
        <v>6236</v>
      </c>
      <c r="E215" s="222" t="str">
        <f t="shared" si="12"/>
        <v>900096236</v>
      </c>
      <c r="F215" s="4" t="s">
        <v>387</v>
      </c>
      <c r="G215" s="4" t="s">
        <v>394</v>
      </c>
      <c r="K215" s="3"/>
    </row>
    <row r="216" spans="1:11" x14ac:dyDescent="0.2">
      <c r="A216" s="225">
        <v>669801</v>
      </c>
      <c r="B216" s="3" t="s">
        <v>586</v>
      </c>
      <c r="C216" s="3" t="str">
        <f t="shared" si="10"/>
        <v>Kita der Ev. Andreasgemeinde Gießen</v>
      </c>
      <c r="D216" s="222" t="str">
        <f t="shared" si="11"/>
        <v>6698</v>
      </c>
      <c r="E216" s="222" t="str">
        <f t="shared" si="12"/>
        <v>900096698</v>
      </c>
      <c r="F216" s="4" t="s">
        <v>460</v>
      </c>
      <c r="G216" s="4" t="s">
        <v>459</v>
      </c>
      <c r="K216" s="3"/>
    </row>
    <row r="217" spans="1:11" x14ac:dyDescent="0.2">
      <c r="A217" s="225">
        <v>669802</v>
      </c>
      <c r="B217" s="3" t="s">
        <v>587</v>
      </c>
      <c r="C217" s="3" t="str">
        <f>B217</f>
        <v>Kinder- &amp; Familienzentrum Rote Schule</v>
      </c>
      <c r="D217" s="222" t="str">
        <f t="shared" si="11"/>
        <v>6698</v>
      </c>
      <c r="E217" s="222" t="str">
        <f t="shared" si="12"/>
        <v>900096698</v>
      </c>
      <c r="F217" s="4" t="s">
        <v>460</v>
      </c>
      <c r="G217" s="4" t="s">
        <v>459</v>
      </c>
      <c r="K217" s="3"/>
    </row>
    <row r="218" spans="1:11" x14ac:dyDescent="0.2">
      <c r="A218" s="225">
        <v>669803</v>
      </c>
      <c r="B218" s="3" t="s">
        <v>588</v>
      </c>
      <c r="C218" s="3" t="str">
        <f>MID(B218,5,100)</f>
        <v>Kita "Ulner Dreieck" der Ev. Lukasgemeinde Gießen</v>
      </c>
      <c r="D218" s="222" t="str">
        <f t="shared" si="11"/>
        <v>6698</v>
      </c>
      <c r="E218" s="222" t="str">
        <f t="shared" si="12"/>
        <v>900096698</v>
      </c>
      <c r="F218" s="4" t="s">
        <v>460</v>
      </c>
      <c r="G218" s="4" t="s">
        <v>459</v>
      </c>
      <c r="K218" s="3"/>
    </row>
    <row r="219" spans="1:11" x14ac:dyDescent="0.2">
      <c r="A219" s="225">
        <v>669804</v>
      </c>
      <c r="B219" s="3" t="s">
        <v>589</v>
      </c>
      <c r="C219" s="3" t="str">
        <f>MID(B219,5,100)</f>
        <v>Kita Ludwigstr. der Ev. Lukasgemeinde Gießen</v>
      </c>
      <c r="D219" s="222" t="str">
        <f t="shared" si="11"/>
        <v>6698</v>
      </c>
      <c r="E219" s="222" t="str">
        <f t="shared" si="12"/>
        <v>900096698</v>
      </c>
      <c r="F219" s="4" t="s">
        <v>460</v>
      </c>
      <c r="G219" s="4" t="s">
        <v>459</v>
      </c>
      <c r="K219" s="3"/>
    </row>
    <row r="220" spans="1:11" x14ac:dyDescent="0.2">
      <c r="A220" s="225">
        <v>669805</v>
      </c>
      <c r="B220" s="3" t="s">
        <v>590</v>
      </c>
      <c r="C220" s="3" t="str">
        <f>B220</f>
        <v>Kinder- u. Fam. Zentrum Lutherberg</v>
      </c>
      <c r="D220" s="222" t="str">
        <f t="shared" si="11"/>
        <v>6698</v>
      </c>
      <c r="E220" s="222" t="str">
        <f t="shared" si="12"/>
        <v>900096698</v>
      </c>
      <c r="F220" s="4" t="s">
        <v>460</v>
      </c>
      <c r="G220" s="4" t="s">
        <v>459</v>
      </c>
      <c r="K220" s="3"/>
    </row>
    <row r="221" spans="1:11" x14ac:dyDescent="0.2">
      <c r="A221" s="225">
        <v>669806</v>
      </c>
      <c r="B221" s="3" t="s">
        <v>591</v>
      </c>
      <c r="C221" s="3" t="str">
        <f>MID(B221,5,100)</f>
        <v>Kita Am Kaiserberg Wieseck</v>
      </c>
      <c r="D221" s="222" t="str">
        <f t="shared" si="11"/>
        <v>6698</v>
      </c>
      <c r="E221" s="222" t="str">
        <f t="shared" si="12"/>
        <v>900096698</v>
      </c>
      <c r="F221" s="4" t="s">
        <v>460</v>
      </c>
      <c r="G221" s="4" t="s">
        <v>459</v>
      </c>
      <c r="K221" s="3"/>
    </row>
    <row r="222" spans="1:11" x14ac:dyDescent="0.2">
      <c r="A222" s="225">
        <v>669807</v>
      </c>
      <c r="B222" s="3" t="s">
        <v>592</v>
      </c>
      <c r="C222" s="3" t="str">
        <f>MID(B222,5,100)</f>
        <v>Kita Pusteblume Wieseck</v>
      </c>
      <c r="D222" s="222" t="str">
        <f t="shared" si="11"/>
        <v>6698</v>
      </c>
      <c r="E222" s="222" t="str">
        <f t="shared" si="12"/>
        <v>900096698</v>
      </c>
      <c r="F222" s="4" t="s">
        <v>460</v>
      </c>
      <c r="G222" s="4" t="s">
        <v>459</v>
      </c>
      <c r="K222" s="3"/>
    </row>
    <row r="223" spans="1:11" x14ac:dyDescent="0.2">
      <c r="A223" s="225">
        <v>669808</v>
      </c>
      <c r="B223" s="3" t="s">
        <v>593</v>
      </c>
      <c r="C223" s="3" t="str">
        <f>B223</f>
        <v>Krippe der Ev. Thomasgemeinde Gießen</v>
      </c>
      <c r="D223" s="222" t="str">
        <f t="shared" si="11"/>
        <v>6698</v>
      </c>
      <c r="E223" s="222" t="str">
        <f t="shared" si="12"/>
        <v>900096698</v>
      </c>
      <c r="F223" s="4" t="s">
        <v>460</v>
      </c>
      <c r="G223" s="4" t="s">
        <v>459</v>
      </c>
      <c r="K223" s="3"/>
    </row>
    <row r="224" spans="1:11" x14ac:dyDescent="0.2">
      <c r="A224" s="225">
        <v>669809</v>
      </c>
      <c r="B224" s="3" t="s">
        <v>594</v>
      </c>
      <c r="C224" s="3" t="str">
        <f>MID(B224,5,100)</f>
        <v>Kita der Ev. Paulusgemeinde Gießen</v>
      </c>
      <c r="D224" s="222" t="str">
        <f t="shared" si="11"/>
        <v>6698</v>
      </c>
      <c r="E224" s="222" t="str">
        <f t="shared" si="12"/>
        <v>900096698</v>
      </c>
      <c r="F224" s="4" t="s">
        <v>460</v>
      </c>
      <c r="G224" s="4" t="s">
        <v>459</v>
      </c>
      <c r="K224" s="3"/>
    </row>
    <row r="225" spans="1:11" x14ac:dyDescent="0.2">
      <c r="A225" s="225">
        <v>669810</v>
      </c>
      <c r="B225" s="3" t="s">
        <v>595</v>
      </c>
      <c r="C225" s="3" t="str">
        <f>MID(B225,5,100)</f>
        <v>Kita und Familienzentrum der Ev. Petrusgemeinde</v>
      </c>
      <c r="D225" s="222" t="str">
        <f t="shared" si="11"/>
        <v>6698</v>
      </c>
      <c r="E225" s="222" t="str">
        <f t="shared" si="12"/>
        <v>900096698</v>
      </c>
      <c r="F225" s="4" t="s">
        <v>460</v>
      </c>
      <c r="G225" s="4" t="s">
        <v>459</v>
      </c>
      <c r="K225" s="3"/>
    </row>
    <row r="226" spans="1:11" x14ac:dyDescent="0.2">
      <c r="A226" s="225">
        <v>669811</v>
      </c>
      <c r="B226" s="3" t="s">
        <v>596</v>
      </c>
      <c r="C226" s="3" t="str">
        <f>MID(B226,5,100)</f>
        <v>Kita der Ev. Stephanusgemeinde Gießen</v>
      </c>
      <c r="D226" s="222" t="str">
        <f t="shared" si="11"/>
        <v>6698</v>
      </c>
      <c r="E226" s="222" t="str">
        <f t="shared" si="12"/>
        <v>900096698</v>
      </c>
      <c r="F226" s="4" t="s">
        <v>460</v>
      </c>
      <c r="G226" s="4" t="s">
        <v>459</v>
      </c>
      <c r="K226" s="3"/>
    </row>
    <row r="227" spans="1:11" x14ac:dyDescent="0.2">
      <c r="A227" s="225">
        <v>669812</v>
      </c>
      <c r="B227" s="3" t="s">
        <v>597</v>
      </c>
      <c r="C227" s="3" t="str">
        <f>B227</f>
        <v>Kinder-u.Familienzentrum Westwind</v>
      </c>
      <c r="D227" s="222" t="str">
        <f t="shared" si="11"/>
        <v>6698</v>
      </c>
      <c r="E227" s="222" t="str">
        <f t="shared" si="12"/>
        <v>900096698</v>
      </c>
      <c r="F227" s="4" t="s">
        <v>460</v>
      </c>
      <c r="G227" s="4" t="s">
        <v>459</v>
      </c>
      <c r="K227" s="3"/>
    </row>
    <row r="228" spans="1:11" x14ac:dyDescent="0.2">
      <c r="A228" s="225">
        <v>669821</v>
      </c>
      <c r="B228" s="3" t="s">
        <v>598</v>
      </c>
      <c r="C228" s="3" t="str">
        <f>MID(B228,5,100)</f>
        <v>Kita Arche Langgöns</v>
      </c>
      <c r="D228" s="222" t="str">
        <f t="shared" si="11"/>
        <v>6698</v>
      </c>
      <c r="E228" s="222" t="str">
        <f t="shared" si="12"/>
        <v>900096698</v>
      </c>
      <c r="F228" s="4" t="s">
        <v>460</v>
      </c>
      <c r="G228" s="4" t="s">
        <v>459</v>
      </c>
      <c r="K228" s="3"/>
    </row>
    <row r="229" spans="1:11" x14ac:dyDescent="0.2">
      <c r="A229" s="225">
        <v>669822</v>
      </c>
      <c r="B229" s="3" t="s">
        <v>599</v>
      </c>
      <c r="C229" s="3" t="str">
        <f>B229</f>
        <v>Waldkindergarten Großen-Linden</v>
      </c>
      <c r="D229" s="222" t="str">
        <f t="shared" si="11"/>
        <v>6698</v>
      </c>
      <c r="E229" s="222" t="str">
        <f t="shared" si="12"/>
        <v>900096698</v>
      </c>
      <c r="F229" s="4" t="s">
        <v>460</v>
      </c>
      <c r="G229" s="4" t="s">
        <v>459</v>
      </c>
      <c r="K229" s="3"/>
    </row>
    <row r="230" spans="1:11" x14ac:dyDescent="0.2">
      <c r="A230" s="225">
        <v>669823</v>
      </c>
      <c r="B230" s="3" t="s">
        <v>600</v>
      </c>
      <c r="C230" s="3" t="str">
        <f t="shared" ref="C230:C235" si="13">MID(B230,5,100)</f>
        <v>Kita Leihgestern</v>
      </c>
      <c r="D230" s="222" t="str">
        <f t="shared" si="11"/>
        <v>6698</v>
      </c>
      <c r="E230" s="222" t="str">
        <f t="shared" si="12"/>
        <v>900096698</v>
      </c>
      <c r="F230" s="4" t="s">
        <v>460</v>
      </c>
      <c r="G230" s="4" t="s">
        <v>459</v>
      </c>
      <c r="K230" s="3"/>
    </row>
    <row r="231" spans="1:11" x14ac:dyDescent="0.2">
      <c r="A231" s="225">
        <v>669824</v>
      </c>
      <c r="B231" s="3" t="s">
        <v>601</v>
      </c>
      <c r="C231" s="3" t="str">
        <f t="shared" si="13"/>
        <v>Kita Bieber</v>
      </c>
      <c r="D231" s="222" t="str">
        <f t="shared" si="11"/>
        <v>6698</v>
      </c>
      <c r="E231" s="222" t="str">
        <f t="shared" si="12"/>
        <v>900096698</v>
      </c>
      <c r="F231" s="4" t="s">
        <v>460</v>
      </c>
      <c r="G231" s="4" t="s">
        <v>459</v>
      </c>
      <c r="K231" s="3"/>
    </row>
    <row r="232" spans="1:11" x14ac:dyDescent="0.2">
      <c r="A232" s="225">
        <v>669825</v>
      </c>
      <c r="B232" s="3" t="s">
        <v>602</v>
      </c>
      <c r="C232" s="3" t="str">
        <f t="shared" si="13"/>
        <v>Kita "Zum Fuchsbau" Fellingshausen</v>
      </c>
      <c r="D232" s="222" t="str">
        <f t="shared" si="11"/>
        <v>6698</v>
      </c>
      <c r="E232" s="222" t="str">
        <f t="shared" si="12"/>
        <v>900096698</v>
      </c>
      <c r="F232" s="4" t="s">
        <v>460</v>
      </c>
      <c r="G232" s="4" t="s">
        <v>459</v>
      </c>
      <c r="K232" s="3"/>
    </row>
    <row r="233" spans="1:11" x14ac:dyDescent="0.2">
      <c r="A233" s="225">
        <v>669826</v>
      </c>
      <c r="B233" s="3" t="s">
        <v>603</v>
      </c>
      <c r="C233" s="3" t="str">
        <f t="shared" si="13"/>
        <v>Kita Krumbach</v>
      </c>
      <c r="D233" s="222" t="str">
        <f t="shared" si="11"/>
        <v>6698</v>
      </c>
      <c r="E233" s="222" t="str">
        <f t="shared" si="12"/>
        <v>900096698</v>
      </c>
      <c r="F233" s="4" t="s">
        <v>460</v>
      </c>
      <c r="G233" s="4" t="s">
        <v>459</v>
      </c>
      <c r="K233" s="3"/>
    </row>
    <row r="234" spans="1:11" x14ac:dyDescent="0.2">
      <c r="A234" s="225">
        <v>669828</v>
      </c>
      <c r="B234" s="3" t="s">
        <v>604</v>
      </c>
      <c r="C234" s="3" t="str">
        <f t="shared" si="13"/>
        <v>Kita Rodheim</v>
      </c>
      <c r="D234" s="222" t="str">
        <f t="shared" si="11"/>
        <v>6698</v>
      </c>
      <c r="E234" s="222" t="str">
        <f t="shared" si="12"/>
        <v>900096698</v>
      </c>
      <c r="F234" s="4" t="s">
        <v>460</v>
      </c>
      <c r="G234" s="4" t="s">
        <v>459</v>
      </c>
      <c r="K234" s="3"/>
    </row>
    <row r="235" spans="1:11" x14ac:dyDescent="0.2">
      <c r="A235" s="225">
        <v>669829</v>
      </c>
      <c r="B235" s="3" t="s">
        <v>605</v>
      </c>
      <c r="C235" s="3" t="str">
        <f t="shared" si="13"/>
        <v>Kita Vetzberg</v>
      </c>
      <c r="D235" s="222" t="str">
        <f t="shared" si="11"/>
        <v>6698</v>
      </c>
      <c r="E235" s="222" t="str">
        <f t="shared" si="12"/>
        <v>900096698</v>
      </c>
      <c r="F235" s="4" t="s">
        <v>460</v>
      </c>
      <c r="G235" s="4" t="s">
        <v>459</v>
      </c>
      <c r="K235" s="3"/>
    </row>
    <row r="236" spans="1:11" x14ac:dyDescent="0.2">
      <c r="A236" s="225">
        <v>669898</v>
      </c>
      <c r="B236" s="3" t="s">
        <v>606</v>
      </c>
      <c r="C236" s="3" t="str">
        <f>B236</f>
        <v>Schulkindbetreuung Fellingshausen</v>
      </c>
      <c r="D236" s="222" t="str">
        <f t="shared" si="11"/>
        <v>6698</v>
      </c>
      <c r="E236" s="222" t="str">
        <f t="shared" si="12"/>
        <v>900096698</v>
      </c>
      <c r="F236" s="4" t="s">
        <v>460</v>
      </c>
      <c r="G236" s="4" t="s">
        <v>459</v>
      </c>
      <c r="K236" s="3"/>
    </row>
    <row r="237" spans="1:11" x14ac:dyDescent="0.2">
      <c r="A237" s="225">
        <v>669899</v>
      </c>
      <c r="B237" s="3" t="s">
        <v>607</v>
      </c>
      <c r="C237" s="3" t="str">
        <f>B237</f>
        <v>Schulkindbetreuung Ev. Kita Rodheim</v>
      </c>
      <c r="D237" s="222" t="str">
        <f t="shared" si="11"/>
        <v>6698</v>
      </c>
      <c r="E237" s="222" t="str">
        <f t="shared" si="12"/>
        <v>900096698</v>
      </c>
      <c r="F237" s="4" t="s">
        <v>460</v>
      </c>
      <c r="G237" s="4" t="s">
        <v>459</v>
      </c>
      <c r="K237" s="3"/>
    </row>
    <row r="238" spans="1:11" x14ac:dyDescent="0.2">
      <c r="A238" s="225">
        <v>670201</v>
      </c>
      <c r="B238" s="3" t="s">
        <v>608</v>
      </c>
      <c r="C238" s="3" t="str">
        <f t="shared" ref="C238:C246" si="14">MID(B238,5,100)</f>
        <v>Kita Arche Noah Alsfeld</v>
      </c>
      <c r="D238" s="222" t="str">
        <f t="shared" si="11"/>
        <v>6702</v>
      </c>
      <c r="E238" s="222" t="str">
        <f t="shared" si="12"/>
        <v>900096702</v>
      </c>
      <c r="F238" s="4" t="s">
        <v>462</v>
      </c>
      <c r="G238" s="4" t="s">
        <v>551</v>
      </c>
      <c r="K238" s="3"/>
    </row>
    <row r="239" spans="1:11" x14ac:dyDescent="0.2">
      <c r="A239" s="225">
        <v>670202</v>
      </c>
      <c r="B239" s="3" t="s">
        <v>609</v>
      </c>
      <c r="C239" s="3" t="str">
        <f t="shared" si="14"/>
        <v>Kita Krebsbach Alsfeld</v>
      </c>
      <c r="D239" s="222" t="str">
        <f t="shared" si="11"/>
        <v>6702</v>
      </c>
      <c r="E239" s="222" t="str">
        <f t="shared" si="12"/>
        <v>900096702</v>
      </c>
      <c r="F239" s="4" t="s">
        <v>462</v>
      </c>
      <c r="G239" s="4" t="s">
        <v>551</v>
      </c>
      <c r="K239" s="3"/>
    </row>
    <row r="240" spans="1:11" x14ac:dyDescent="0.2">
      <c r="A240" s="225">
        <v>670203</v>
      </c>
      <c r="B240" s="3" t="s">
        <v>610</v>
      </c>
      <c r="C240" s="3" t="str">
        <f t="shared" si="14"/>
        <v>Kita Rodenberg Alsfeld</v>
      </c>
      <c r="D240" s="222" t="str">
        <f t="shared" si="11"/>
        <v>6702</v>
      </c>
      <c r="E240" s="222" t="str">
        <f t="shared" si="12"/>
        <v>900096702</v>
      </c>
      <c r="F240" s="4" t="s">
        <v>462</v>
      </c>
      <c r="G240" s="4" t="s">
        <v>551</v>
      </c>
      <c r="K240" s="3"/>
    </row>
    <row r="241" spans="1:11" x14ac:dyDescent="0.2">
      <c r="A241" s="225">
        <v>670301</v>
      </c>
      <c r="B241" s="3" t="s">
        <v>611</v>
      </c>
      <c r="C241" s="3" t="str">
        <f t="shared" si="14"/>
        <v>Kita Eifa Altenburg</v>
      </c>
      <c r="D241" s="222" t="str">
        <f t="shared" si="11"/>
        <v>6703</v>
      </c>
      <c r="E241" s="222" t="str">
        <f t="shared" si="12"/>
        <v>900096703</v>
      </c>
      <c r="F241" s="4" t="s">
        <v>464</v>
      </c>
      <c r="G241" s="4" t="s">
        <v>551</v>
      </c>
      <c r="K241" s="3"/>
    </row>
    <row r="242" spans="1:11" x14ac:dyDescent="0.2">
      <c r="A242" s="225">
        <v>672401</v>
      </c>
      <c r="B242" s="3" t="s">
        <v>612</v>
      </c>
      <c r="C242" s="3" t="str">
        <f t="shared" si="14"/>
        <v>Kita Groß Felda</v>
      </c>
      <c r="D242" s="222" t="str">
        <f t="shared" si="11"/>
        <v>6724</v>
      </c>
      <c r="E242" s="222" t="str">
        <f t="shared" si="12"/>
        <v>900096724</v>
      </c>
      <c r="F242" s="4" t="s">
        <v>493</v>
      </c>
      <c r="G242" s="4" t="s">
        <v>551</v>
      </c>
      <c r="K242" s="3"/>
    </row>
    <row r="243" spans="1:11" x14ac:dyDescent="0.2">
      <c r="A243" s="225">
        <v>673201</v>
      </c>
      <c r="B243" s="3" t="s">
        <v>613</v>
      </c>
      <c r="C243" s="3" t="str">
        <f t="shared" si="14"/>
        <v>Kita Kirtorf</v>
      </c>
      <c r="D243" s="222" t="str">
        <f t="shared" si="11"/>
        <v>6732</v>
      </c>
      <c r="E243" s="222" t="str">
        <f t="shared" si="12"/>
        <v>900096732</v>
      </c>
      <c r="F243" s="4" t="s">
        <v>507</v>
      </c>
      <c r="G243" s="4" t="s">
        <v>551</v>
      </c>
      <c r="K243" s="3"/>
    </row>
    <row r="244" spans="1:11" x14ac:dyDescent="0.2">
      <c r="A244" s="225">
        <v>673601</v>
      </c>
      <c r="B244" s="3" t="s">
        <v>614</v>
      </c>
      <c r="C244" s="3" t="str">
        <f t="shared" si="14"/>
        <v>Kita Maulbach</v>
      </c>
      <c r="D244" s="222" t="str">
        <f t="shared" si="11"/>
        <v>6736</v>
      </c>
      <c r="E244" s="222" t="str">
        <f t="shared" si="12"/>
        <v>900096736</v>
      </c>
      <c r="F244" s="4" t="s">
        <v>515</v>
      </c>
      <c r="G244" s="4" t="s">
        <v>551</v>
      </c>
      <c r="K244" s="3"/>
    </row>
    <row r="245" spans="1:11" x14ac:dyDescent="0.2">
      <c r="A245" s="225">
        <v>674401</v>
      </c>
      <c r="B245" s="3" t="s">
        <v>615</v>
      </c>
      <c r="C245" s="3" t="str">
        <f t="shared" si="14"/>
        <v>Kita Romrod</v>
      </c>
      <c r="D245" s="222" t="str">
        <f t="shared" si="11"/>
        <v>6744</v>
      </c>
      <c r="E245" s="222" t="str">
        <f t="shared" si="12"/>
        <v>900096744</v>
      </c>
      <c r="F245" s="4" t="s">
        <v>531</v>
      </c>
      <c r="G245" s="4" t="s">
        <v>551</v>
      </c>
      <c r="K245" s="3"/>
    </row>
    <row r="246" spans="1:11" x14ac:dyDescent="0.2">
      <c r="A246" s="225">
        <v>674901</v>
      </c>
      <c r="B246" s="3" t="s">
        <v>616</v>
      </c>
      <c r="C246" s="3" t="str">
        <f t="shared" si="14"/>
        <v>Kita Ober-Breidenbach Storndorf</v>
      </c>
      <c r="D246" s="222" t="str">
        <f t="shared" si="11"/>
        <v>6749</v>
      </c>
      <c r="E246" s="222" t="str">
        <f t="shared" si="12"/>
        <v>900096749</v>
      </c>
      <c r="F246" s="4" t="s">
        <v>539</v>
      </c>
      <c r="G246" s="4" t="s">
        <v>551</v>
      </c>
      <c r="K246" s="3"/>
    </row>
    <row r="247" spans="1:11" x14ac:dyDescent="0.2">
      <c r="A247" s="1"/>
      <c r="D247" s="222"/>
    </row>
    <row r="248" spans="1:11" x14ac:dyDescent="0.2">
      <c r="A248" s="1"/>
      <c r="D248" s="222"/>
    </row>
    <row r="249" spans="1:11" x14ac:dyDescent="0.2">
      <c r="A249" s="1"/>
      <c r="D249" s="222"/>
    </row>
    <row r="250" spans="1:11" x14ac:dyDescent="0.2">
      <c r="A250" s="1"/>
      <c r="D250" s="222"/>
    </row>
    <row r="251" spans="1:11" x14ac:dyDescent="0.2">
      <c r="A251" s="1"/>
      <c r="D251" s="222"/>
    </row>
    <row r="252" spans="1:11" x14ac:dyDescent="0.2">
      <c r="A252" s="1"/>
      <c r="D252" s="222"/>
    </row>
    <row r="253" spans="1:11" x14ac:dyDescent="0.2">
      <c r="A253" s="1"/>
      <c r="D253" s="222"/>
    </row>
    <row r="254" spans="1:11" x14ac:dyDescent="0.2">
      <c r="A254" s="1"/>
      <c r="D254" s="222"/>
    </row>
    <row r="255" spans="1:11" x14ac:dyDescent="0.2">
      <c r="A255" s="1"/>
      <c r="D255" s="222"/>
    </row>
    <row r="256" spans="1:11" x14ac:dyDescent="0.2">
      <c r="A256" s="1"/>
      <c r="D256" s="222"/>
    </row>
    <row r="257" spans="1:4" x14ac:dyDescent="0.2">
      <c r="A257" s="1"/>
      <c r="D257" s="222"/>
    </row>
    <row r="258" spans="1:4" x14ac:dyDescent="0.2">
      <c r="A258" s="1"/>
      <c r="D258" s="222"/>
    </row>
    <row r="259" spans="1:4" x14ac:dyDescent="0.2">
      <c r="A259" s="1"/>
      <c r="D259" s="222"/>
    </row>
    <row r="260" spans="1:4" x14ac:dyDescent="0.2">
      <c r="A260" s="1"/>
      <c r="D260" s="222"/>
    </row>
    <row r="261" spans="1:4" x14ac:dyDescent="0.2">
      <c r="A261" s="1"/>
      <c r="D261" s="222"/>
    </row>
    <row r="262" spans="1:4" x14ac:dyDescent="0.2">
      <c r="A262" s="1"/>
      <c r="D262" s="222"/>
    </row>
    <row r="263" spans="1:4" x14ac:dyDescent="0.2">
      <c r="A263" s="1"/>
      <c r="D263" s="222"/>
    </row>
    <row r="264" spans="1:4" x14ac:dyDescent="0.2">
      <c r="A264" s="1"/>
      <c r="D264" s="222"/>
    </row>
    <row r="265" spans="1:4" x14ac:dyDescent="0.2">
      <c r="A265" s="1"/>
      <c r="D265" s="222"/>
    </row>
    <row r="266" spans="1:4" x14ac:dyDescent="0.2">
      <c r="A266" s="1"/>
      <c r="D266" s="222"/>
    </row>
    <row r="267" spans="1:4" x14ac:dyDescent="0.2">
      <c r="A267" s="1"/>
      <c r="D267" s="222"/>
    </row>
    <row r="268" spans="1:4" x14ac:dyDescent="0.2">
      <c r="A268" s="1"/>
      <c r="D268" s="222"/>
    </row>
    <row r="269" spans="1:4" x14ac:dyDescent="0.2">
      <c r="A269" s="1"/>
      <c r="D269" s="222"/>
    </row>
    <row r="270" spans="1:4" x14ac:dyDescent="0.2">
      <c r="A270" s="1"/>
      <c r="D270" s="222"/>
    </row>
    <row r="271" spans="1:4" x14ac:dyDescent="0.2">
      <c r="A271" s="1"/>
      <c r="D271" s="222"/>
    </row>
    <row r="272" spans="1:4" x14ac:dyDescent="0.2">
      <c r="A272" s="1"/>
      <c r="D272" s="222"/>
    </row>
    <row r="273" spans="1:4" x14ac:dyDescent="0.2">
      <c r="A273" s="1"/>
      <c r="D273" s="222"/>
    </row>
    <row r="274" spans="1:4" x14ac:dyDescent="0.2">
      <c r="A274" s="1"/>
      <c r="D274" s="222"/>
    </row>
    <row r="275" spans="1:4" x14ac:dyDescent="0.2">
      <c r="A275" s="1"/>
      <c r="D275" s="222"/>
    </row>
    <row r="276" spans="1:4" x14ac:dyDescent="0.2">
      <c r="A276" s="1"/>
      <c r="D276" s="222"/>
    </row>
    <row r="277" spans="1:4" x14ac:dyDescent="0.2">
      <c r="A277" s="1"/>
      <c r="D277" s="222"/>
    </row>
    <row r="278" spans="1:4" x14ac:dyDescent="0.2">
      <c r="A278" s="1"/>
      <c r="D278" s="222"/>
    </row>
    <row r="279" spans="1:4" x14ac:dyDescent="0.2">
      <c r="A279" s="1"/>
      <c r="D279" s="222"/>
    </row>
    <row r="280" spans="1:4" x14ac:dyDescent="0.2">
      <c r="A280" s="1"/>
      <c r="D280" s="222"/>
    </row>
    <row r="281" spans="1:4" x14ac:dyDescent="0.2">
      <c r="A281" s="1"/>
      <c r="D281" s="222"/>
    </row>
    <row r="282" spans="1:4" x14ac:dyDescent="0.2">
      <c r="A282" s="1"/>
      <c r="D282" s="222"/>
    </row>
    <row r="283" spans="1:4" x14ac:dyDescent="0.2">
      <c r="A283" s="1"/>
      <c r="D283" s="222"/>
    </row>
    <row r="284" spans="1:4" x14ac:dyDescent="0.2">
      <c r="A284" s="1"/>
      <c r="D284" s="222"/>
    </row>
    <row r="285" spans="1:4" x14ac:dyDescent="0.2">
      <c r="A285" s="1"/>
      <c r="D285" s="222"/>
    </row>
    <row r="286" spans="1:4" x14ac:dyDescent="0.2">
      <c r="A286" s="1"/>
      <c r="D286" s="222"/>
    </row>
    <row r="287" spans="1:4" x14ac:dyDescent="0.2">
      <c r="A287" s="1"/>
      <c r="D287" s="222"/>
    </row>
    <row r="288" spans="1:4" x14ac:dyDescent="0.2">
      <c r="A288" s="1"/>
      <c r="D288" s="222"/>
    </row>
    <row r="289" spans="1:4" x14ac:dyDescent="0.2">
      <c r="A289" s="1"/>
      <c r="D289" s="222"/>
    </row>
    <row r="290" spans="1:4" x14ac:dyDescent="0.2">
      <c r="A290" s="1"/>
      <c r="D290" s="222"/>
    </row>
    <row r="291" spans="1:4" x14ac:dyDescent="0.2">
      <c r="A291" s="1"/>
      <c r="D291" s="222"/>
    </row>
  </sheetData>
  <sheetProtection algorithmName="SHA-512" hashValue="5s73fHZufX8hJBzhw85d/UltfiOqqr7OY8zR3Q0MhoF1CGjl48jmFJZNI8EqbmZOttHyYVQzqyDWOz+Az2kGSg==" saltValue="vmlldqvLLfSFXjCnmoaZdg==" spinCount="100000" sheet="1" objects="1" scenarios="1" selectLockedCells="1"/>
  <pageMargins left="0.78740157499999996" right="0.78740157499999996" top="0.984251969" bottom="0.984251969" header="0.4921259845" footer="0.4921259845"/>
  <pageSetup paperSize="9" orientation="portrait" horizontalDpi="1200" verticalDpi="1200"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M51"/>
  <sheetViews>
    <sheetView zoomScale="90" zoomScaleNormal="90" workbookViewId="0">
      <selection activeCell="C1" sqref="C1"/>
    </sheetView>
  </sheetViews>
  <sheetFormatPr baseColWidth="10" defaultRowHeight="12.75" x14ac:dyDescent="0.2"/>
  <cols>
    <col min="1" max="1" width="11.42578125" style="50"/>
    <col min="2" max="2" width="2.28515625" style="50" customWidth="1"/>
    <col min="3" max="3" width="6.42578125" style="49" customWidth="1"/>
    <col min="4" max="4" width="10.42578125" style="53" customWidth="1"/>
    <col min="5" max="5" width="45.5703125" style="50" bestFit="1" customWidth="1"/>
    <col min="6" max="6" width="32.85546875" style="50" customWidth="1"/>
    <col min="7" max="7" width="2.28515625" style="50" customWidth="1"/>
    <col min="8" max="8" width="6.42578125" style="49" customWidth="1"/>
    <col min="9" max="9" width="10.42578125" style="53" customWidth="1"/>
    <col min="10" max="10" width="37.42578125" style="50" customWidth="1"/>
    <col min="11" max="11" width="45.5703125" style="50" bestFit="1" customWidth="1"/>
    <col min="12" max="12" width="47.140625" style="50" bestFit="1" customWidth="1"/>
    <col min="13" max="14" width="11.42578125" style="50"/>
    <col min="15" max="15" width="45.5703125" style="50" bestFit="1" customWidth="1"/>
    <col min="16" max="254" width="11.42578125" style="50"/>
    <col min="255" max="255" width="14" style="50" customWidth="1"/>
    <col min="256" max="260" width="11.42578125" style="50"/>
    <col min="261" max="261" width="8.85546875" style="50" customWidth="1"/>
    <col min="262" max="262" width="11.42578125" style="50"/>
    <col min="263" max="263" width="11.140625" style="50" customWidth="1"/>
    <col min="264" max="510" width="11.42578125" style="50"/>
    <col min="511" max="511" width="14" style="50" customWidth="1"/>
    <col min="512" max="516" width="11.42578125" style="50"/>
    <col min="517" max="517" width="8.85546875" style="50" customWidth="1"/>
    <col min="518" max="518" width="11.42578125" style="50"/>
    <col min="519" max="519" width="11.140625" style="50" customWidth="1"/>
    <col min="520" max="766" width="11.42578125" style="50"/>
    <col min="767" max="767" width="14" style="50" customWidth="1"/>
    <col min="768" max="772" width="11.42578125" style="50"/>
    <col min="773" max="773" width="8.85546875" style="50" customWidth="1"/>
    <col min="774" max="774" width="11.42578125" style="50"/>
    <col min="775" max="775" width="11.140625" style="50" customWidth="1"/>
    <col min="776" max="1022" width="11.42578125" style="50"/>
    <col min="1023" max="1023" width="14" style="50" customWidth="1"/>
    <col min="1024" max="1028" width="11.42578125" style="50"/>
    <col min="1029" max="1029" width="8.85546875" style="50" customWidth="1"/>
    <col min="1030" max="1030" width="11.42578125" style="50"/>
    <col min="1031" max="1031" width="11.140625" style="50" customWidth="1"/>
    <col min="1032" max="1278" width="11.42578125" style="50"/>
    <col min="1279" max="1279" width="14" style="50" customWidth="1"/>
    <col min="1280" max="1284" width="11.42578125" style="50"/>
    <col min="1285" max="1285" width="8.85546875" style="50" customWidth="1"/>
    <col min="1286" max="1286" width="11.42578125" style="50"/>
    <col min="1287" max="1287" width="11.140625" style="50" customWidth="1"/>
    <col min="1288" max="1534" width="11.42578125" style="50"/>
    <col min="1535" max="1535" width="14" style="50" customWidth="1"/>
    <col min="1536" max="1540" width="11.42578125" style="50"/>
    <col min="1541" max="1541" width="8.85546875" style="50" customWidth="1"/>
    <col min="1542" max="1542" width="11.42578125" style="50"/>
    <col min="1543" max="1543" width="11.140625" style="50" customWidth="1"/>
    <col min="1544" max="1790" width="11.42578125" style="50"/>
    <col min="1791" max="1791" width="14" style="50" customWidth="1"/>
    <col min="1792" max="1796" width="11.42578125" style="50"/>
    <col min="1797" max="1797" width="8.85546875" style="50" customWidth="1"/>
    <col min="1798" max="1798" width="11.42578125" style="50"/>
    <col min="1799" max="1799" width="11.140625" style="50" customWidth="1"/>
    <col min="1800" max="2046" width="11.42578125" style="50"/>
    <col min="2047" max="2047" width="14" style="50" customWidth="1"/>
    <col min="2048" max="2052" width="11.42578125" style="50"/>
    <col min="2053" max="2053" width="8.85546875" style="50" customWidth="1"/>
    <col min="2054" max="2054" width="11.42578125" style="50"/>
    <col min="2055" max="2055" width="11.140625" style="50" customWidth="1"/>
    <col min="2056" max="2302" width="11.42578125" style="50"/>
    <col min="2303" max="2303" width="14" style="50" customWidth="1"/>
    <col min="2304" max="2308" width="11.42578125" style="50"/>
    <col min="2309" max="2309" width="8.85546875" style="50" customWidth="1"/>
    <col min="2310" max="2310" width="11.42578125" style="50"/>
    <col min="2311" max="2311" width="11.140625" style="50" customWidth="1"/>
    <col min="2312" max="2558" width="11.42578125" style="50"/>
    <col min="2559" max="2559" width="14" style="50" customWidth="1"/>
    <col min="2560" max="2564" width="11.42578125" style="50"/>
    <col min="2565" max="2565" width="8.85546875" style="50" customWidth="1"/>
    <col min="2566" max="2566" width="11.42578125" style="50"/>
    <col min="2567" max="2567" width="11.140625" style="50" customWidth="1"/>
    <col min="2568" max="2814" width="11.42578125" style="50"/>
    <col min="2815" max="2815" width="14" style="50" customWidth="1"/>
    <col min="2816" max="2820" width="11.42578125" style="50"/>
    <col min="2821" max="2821" width="8.85546875" style="50" customWidth="1"/>
    <col min="2822" max="2822" width="11.42578125" style="50"/>
    <col min="2823" max="2823" width="11.140625" style="50" customWidth="1"/>
    <col min="2824" max="3070" width="11.42578125" style="50"/>
    <col min="3071" max="3071" width="14" style="50" customWidth="1"/>
    <col min="3072" max="3076" width="11.42578125" style="50"/>
    <col min="3077" max="3077" width="8.85546875" style="50" customWidth="1"/>
    <col min="3078" max="3078" width="11.42578125" style="50"/>
    <col min="3079" max="3079" width="11.140625" style="50" customWidth="1"/>
    <col min="3080" max="3326" width="11.42578125" style="50"/>
    <col min="3327" max="3327" width="14" style="50" customWidth="1"/>
    <col min="3328" max="3332" width="11.42578125" style="50"/>
    <col min="3333" max="3333" width="8.85546875" style="50" customWidth="1"/>
    <col min="3334" max="3334" width="11.42578125" style="50"/>
    <col min="3335" max="3335" width="11.140625" style="50" customWidth="1"/>
    <col min="3336" max="3582" width="11.42578125" style="50"/>
    <col min="3583" max="3583" width="14" style="50" customWidth="1"/>
    <col min="3584" max="3588" width="11.42578125" style="50"/>
    <col min="3589" max="3589" width="8.85546875" style="50" customWidth="1"/>
    <col min="3590" max="3590" width="11.42578125" style="50"/>
    <col min="3591" max="3591" width="11.140625" style="50" customWidth="1"/>
    <col min="3592" max="3838" width="11.42578125" style="50"/>
    <col min="3839" max="3839" width="14" style="50" customWidth="1"/>
    <col min="3840" max="3844" width="11.42578125" style="50"/>
    <col min="3845" max="3845" width="8.85546875" style="50" customWidth="1"/>
    <col min="3846" max="3846" width="11.42578125" style="50"/>
    <col min="3847" max="3847" width="11.140625" style="50" customWidth="1"/>
    <col min="3848" max="4094" width="11.42578125" style="50"/>
    <col min="4095" max="4095" width="14" style="50" customWidth="1"/>
    <col min="4096" max="4100" width="11.42578125" style="50"/>
    <col min="4101" max="4101" width="8.85546875" style="50" customWidth="1"/>
    <col min="4102" max="4102" width="11.42578125" style="50"/>
    <col min="4103" max="4103" width="11.140625" style="50" customWidth="1"/>
    <col min="4104" max="4350" width="11.42578125" style="50"/>
    <col min="4351" max="4351" width="14" style="50" customWidth="1"/>
    <col min="4352" max="4356" width="11.42578125" style="50"/>
    <col min="4357" max="4357" width="8.85546875" style="50" customWidth="1"/>
    <col min="4358" max="4358" width="11.42578125" style="50"/>
    <col min="4359" max="4359" width="11.140625" style="50" customWidth="1"/>
    <col min="4360" max="4606" width="11.42578125" style="50"/>
    <col min="4607" max="4607" width="14" style="50" customWidth="1"/>
    <col min="4608" max="4612" width="11.42578125" style="50"/>
    <col min="4613" max="4613" width="8.85546875" style="50" customWidth="1"/>
    <col min="4614" max="4614" width="11.42578125" style="50"/>
    <col min="4615" max="4615" width="11.140625" style="50" customWidth="1"/>
    <col min="4616" max="4862" width="11.42578125" style="50"/>
    <col min="4863" max="4863" width="14" style="50" customWidth="1"/>
    <col min="4864" max="4868" width="11.42578125" style="50"/>
    <col min="4869" max="4869" width="8.85546875" style="50" customWidth="1"/>
    <col min="4870" max="4870" width="11.42578125" style="50"/>
    <col min="4871" max="4871" width="11.140625" style="50" customWidth="1"/>
    <col min="4872" max="5118" width="11.42578125" style="50"/>
    <col min="5119" max="5119" width="14" style="50" customWidth="1"/>
    <col min="5120" max="5124" width="11.42578125" style="50"/>
    <col min="5125" max="5125" width="8.85546875" style="50" customWidth="1"/>
    <col min="5126" max="5126" width="11.42578125" style="50"/>
    <col min="5127" max="5127" width="11.140625" style="50" customWidth="1"/>
    <col min="5128" max="5374" width="11.42578125" style="50"/>
    <col min="5375" max="5375" width="14" style="50" customWidth="1"/>
    <col min="5376" max="5380" width="11.42578125" style="50"/>
    <col min="5381" max="5381" width="8.85546875" style="50" customWidth="1"/>
    <col min="5382" max="5382" width="11.42578125" style="50"/>
    <col min="5383" max="5383" width="11.140625" style="50" customWidth="1"/>
    <col min="5384" max="5630" width="11.42578125" style="50"/>
    <col min="5631" max="5631" width="14" style="50" customWidth="1"/>
    <col min="5632" max="5636" width="11.42578125" style="50"/>
    <col min="5637" max="5637" width="8.85546875" style="50" customWidth="1"/>
    <col min="5638" max="5638" width="11.42578125" style="50"/>
    <col min="5639" max="5639" width="11.140625" style="50" customWidth="1"/>
    <col min="5640" max="5886" width="11.42578125" style="50"/>
    <col min="5887" max="5887" width="14" style="50" customWidth="1"/>
    <col min="5888" max="5892" width="11.42578125" style="50"/>
    <col min="5893" max="5893" width="8.85546875" style="50" customWidth="1"/>
    <col min="5894" max="5894" width="11.42578125" style="50"/>
    <col min="5895" max="5895" width="11.140625" style="50" customWidth="1"/>
    <col min="5896" max="6142" width="11.42578125" style="50"/>
    <col min="6143" max="6143" width="14" style="50" customWidth="1"/>
    <col min="6144" max="6148" width="11.42578125" style="50"/>
    <col min="6149" max="6149" width="8.85546875" style="50" customWidth="1"/>
    <col min="6150" max="6150" width="11.42578125" style="50"/>
    <col min="6151" max="6151" width="11.140625" style="50" customWidth="1"/>
    <col min="6152" max="6398" width="11.42578125" style="50"/>
    <col min="6399" max="6399" width="14" style="50" customWidth="1"/>
    <col min="6400" max="6404" width="11.42578125" style="50"/>
    <col min="6405" max="6405" width="8.85546875" style="50" customWidth="1"/>
    <col min="6406" max="6406" width="11.42578125" style="50"/>
    <col min="6407" max="6407" width="11.140625" style="50" customWidth="1"/>
    <col min="6408" max="6654" width="11.42578125" style="50"/>
    <col min="6655" max="6655" width="14" style="50" customWidth="1"/>
    <col min="6656" max="6660" width="11.42578125" style="50"/>
    <col min="6661" max="6661" width="8.85546875" style="50" customWidth="1"/>
    <col min="6662" max="6662" width="11.42578125" style="50"/>
    <col min="6663" max="6663" width="11.140625" style="50" customWidth="1"/>
    <col min="6664" max="6910" width="11.42578125" style="50"/>
    <col min="6911" max="6911" width="14" style="50" customWidth="1"/>
    <col min="6912" max="6916" width="11.42578125" style="50"/>
    <col min="6917" max="6917" width="8.85546875" style="50" customWidth="1"/>
    <col min="6918" max="6918" width="11.42578125" style="50"/>
    <col min="6919" max="6919" width="11.140625" style="50" customWidth="1"/>
    <col min="6920" max="7166" width="11.42578125" style="50"/>
    <col min="7167" max="7167" width="14" style="50" customWidth="1"/>
    <col min="7168" max="7172" width="11.42578125" style="50"/>
    <col min="7173" max="7173" width="8.85546875" style="50" customWidth="1"/>
    <col min="7174" max="7174" width="11.42578125" style="50"/>
    <col min="7175" max="7175" width="11.140625" style="50" customWidth="1"/>
    <col min="7176" max="7422" width="11.42578125" style="50"/>
    <col min="7423" max="7423" width="14" style="50" customWidth="1"/>
    <col min="7424" max="7428" width="11.42578125" style="50"/>
    <col min="7429" max="7429" width="8.85546875" style="50" customWidth="1"/>
    <col min="7430" max="7430" width="11.42578125" style="50"/>
    <col min="7431" max="7431" width="11.140625" style="50" customWidth="1"/>
    <col min="7432" max="7678" width="11.42578125" style="50"/>
    <col min="7679" max="7679" width="14" style="50" customWidth="1"/>
    <col min="7680" max="7684" width="11.42578125" style="50"/>
    <col min="7685" max="7685" width="8.85546875" style="50" customWidth="1"/>
    <col min="7686" max="7686" width="11.42578125" style="50"/>
    <col min="7687" max="7687" width="11.140625" style="50" customWidth="1"/>
    <col min="7688" max="7934" width="11.42578125" style="50"/>
    <col min="7935" max="7935" width="14" style="50" customWidth="1"/>
    <col min="7936" max="7940" width="11.42578125" style="50"/>
    <col min="7941" max="7941" width="8.85546875" style="50" customWidth="1"/>
    <col min="7942" max="7942" width="11.42578125" style="50"/>
    <col min="7943" max="7943" width="11.140625" style="50" customWidth="1"/>
    <col min="7944" max="8190" width="11.42578125" style="50"/>
    <col min="8191" max="8191" width="14" style="50" customWidth="1"/>
    <col min="8192" max="8196" width="11.42578125" style="50"/>
    <col min="8197" max="8197" width="8.85546875" style="50" customWidth="1"/>
    <col min="8198" max="8198" width="11.42578125" style="50"/>
    <col min="8199" max="8199" width="11.140625" style="50" customWidth="1"/>
    <col min="8200" max="8446" width="11.42578125" style="50"/>
    <col min="8447" max="8447" width="14" style="50" customWidth="1"/>
    <col min="8448" max="8452" width="11.42578125" style="50"/>
    <col min="8453" max="8453" width="8.85546875" style="50" customWidth="1"/>
    <col min="8454" max="8454" width="11.42578125" style="50"/>
    <col min="8455" max="8455" width="11.140625" style="50" customWidth="1"/>
    <col min="8456" max="8702" width="11.42578125" style="50"/>
    <col min="8703" max="8703" width="14" style="50" customWidth="1"/>
    <col min="8704" max="8708" width="11.42578125" style="50"/>
    <col min="8709" max="8709" width="8.85546875" style="50" customWidth="1"/>
    <col min="8710" max="8710" width="11.42578125" style="50"/>
    <col min="8711" max="8711" width="11.140625" style="50" customWidth="1"/>
    <col min="8712" max="8958" width="11.42578125" style="50"/>
    <col min="8959" max="8959" width="14" style="50" customWidth="1"/>
    <col min="8960" max="8964" width="11.42578125" style="50"/>
    <col min="8965" max="8965" width="8.85546875" style="50" customWidth="1"/>
    <col min="8966" max="8966" width="11.42578125" style="50"/>
    <col min="8967" max="8967" width="11.140625" style="50" customWidth="1"/>
    <col min="8968" max="9214" width="11.42578125" style="50"/>
    <col min="9215" max="9215" width="14" style="50" customWidth="1"/>
    <col min="9216" max="9220" width="11.42578125" style="50"/>
    <col min="9221" max="9221" width="8.85546875" style="50" customWidth="1"/>
    <col min="9222" max="9222" width="11.42578125" style="50"/>
    <col min="9223" max="9223" width="11.140625" style="50" customWidth="1"/>
    <col min="9224" max="9470" width="11.42578125" style="50"/>
    <col min="9471" max="9471" width="14" style="50" customWidth="1"/>
    <col min="9472" max="9476" width="11.42578125" style="50"/>
    <col min="9477" max="9477" width="8.85546875" style="50" customWidth="1"/>
    <col min="9478" max="9478" width="11.42578125" style="50"/>
    <col min="9479" max="9479" width="11.140625" style="50" customWidth="1"/>
    <col min="9480" max="9726" width="11.42578125" style="50"/>
    <col min="9727" max="9727" width="14" style="50" customWidth="1"/>
    <col min="9728" max="9732" width="11.42578125" style="50"/>
    <col min="9733" max="9733" width="8.85546875" style="50" customWidth="1"/>
    <col min="9734" max="9734" width="11.42578125" style="50"/>
    <col min="9735" max="9735" width="11.140625" style="50" customWidth="1"/>
    <col min="9736" max="9982" width="11.42578125" style="50"/>
    <col min="9983" max="9983" width="14" style="50" customWidth="1"/>
    <col min="9984" max="9988" width="11.42578125" style="50"/>
    <col min="9989" max="9989" width="8.85546875" style="50" customWidth="1"/>
    <col min="9990" max="9990" width="11.42578125" style="50"/>
    <col min="9991" max="9991" width="11.140625" style="50" customWidth="1"/>
    <col min="9992" max="10238" width="11.42578125" style="50"/>
    <col min="10239" max="10239" width="14" style="50" customWidth="1"/>
    <col min="10240" max="10244" width="11.42578125" style="50"/>
    <col min="10245" max="10245" width="8.85546875" style="50" customWidth="1"/>
    <col min="10246" max="10246" width="11.42578125" style="50"/>
    <col min="10247" max="10247" width="11.140625" style="50" customWidth="1"/>
    <col min="10248" max="10494" width="11.42578125" style="50"/>
    <col min="10495" max="10495" width="14" style="50" customWidth="1"/>
    <col min="10496" max="10500" width="11.42578125" style="50"/>
    <col min="10501" max="10501" width="8.85546875" style="50" customWidth="1"/>
    <col min="10502" max="10502" width="11.42578125" style="50"/>
    <col min="10503" max="10503" width="11.140625" style="50" customWidth="1"/>
    <col min="10504" max="10750" width="11.42578125" style="50"/>
    <col min="10751" max="10751" width="14" style="50" customWidth="1"/>
    <col min="10752" max="10756" width="11.42578125" style="50"/>
    <col min="10757" max="10757" width="8.85546875" style="50" customWidth="1"/>
    <col min="10758" max="10758" width="11.42578125" style="50"/>
    <col min="10759" max="10759" width="11.140625" style="50" customWidth="1"/>
    <col min="10760" max="11006" width="11.42578125" style="50"/>
    <col min="11007" max="11007" width="14" style="50" customWidth="1"/>
    <col min="11008" max="11012" width="11.42578125" style="50"/>
    <col min="11013" max="11013" width="8.85546875" style="50" customWidth="1"/>
    <col min="11014" max="11014" width="11.42578125" style="50"/>
    <col min="11015" max="11015" width="11.140625" style="50" customWidth="1"/>
    <col min="11016" max="11262" width="11.42578125" style="50"/>
    <col min="11263" max="11263" width="14" style="50" customWidth="1"/>
    <col min="11264" max="11268" width="11.42578125" style="50"/>
    <col min="11269" max="11269" width="8.85546875" style="50" customWidth="1"/>
    <col min="11270" max="11270" width="11.42578125" style="50"/>
    <col min="11271" max="11271" width="11.140625" style="50" customWidth="1"/>
    <col min="11272" max="11518" width="11.42578125" style="50"/>
    <col min="11519" max="11519" width="14" style="50" customWidth="1"/>
    <col min="11520" max="11524" width="11.42578125" style="50"/>
    <col min="11525" max="11525" width="8.85546875" style="50" customWidth="1"/>
    <col min="11526" max="11526" width="11.42578125" style="50"/>
    <col min="11527" max="11527" width="11.140625" style="50" customWidth="1"/>
    <col min="11528" max="11774" width="11.42578125" style="50"/>
    <col min="11775" max="11775" width="14" style="50" customWidth="1"/>
    <col min="11776" max="11780" width="11.42578125" style="50"/>
    <col min="11781" max="11781" width="8.85546875" style="50" customWidth="1"/>
    <col min="11782" max="11782" width="11.42578125" style="50"/>
    <col min="11783" max="11783" width="11.140625" style="50" customWidth="1"/>
    <col min="11784" max="12030" width="11.42578125" style="50"/>
    <col min="12031" max="12031" width="14" style="50" customWidth="1"/>
    <col min="12032" max="12036" width="11.42578125" style="50"/>
    <col min="12037" max="12037" width="8.85546875" style="50" customWidth="1"/>
    <col min="12038" max="12038" width="11.42578125" style="50"/>
    <col min="12039" max="12039" width="11.140625" style="50" customWidth="1"/>
    <col min="12040" max="12286" width="11.42578125" style="50"/>
    <col min="12287" max="12287" width="14" style="50" customWidth="1"/>
    <col min="12288" max="12292" width="11.42578125" style="50"/>
    <col min="12293" max="12293" width="8.85546875" style="50" customWidth="1"/>
    <col min="12294" max="12294" width="11.42578125" style="50"/>
    <col min="12295" max="12295" width="11.140625" style="50" customWidth="1"/>
    <col min="12296" max="12542" width="11.42578125" style="50"/>
    <col min="12543" max="12543" width="14" style="50" customWidth="1"/>
    <col min="12544" max="12548" width="11.42578125" style="50"/>
    <col min="12549" max="12549" width="8.85546875" style="50" customWidth="1"/>
    <col min="12550" max="12550" width="11.42578125" style="50"/>
    <col min="12551" max="12551" width="11.140625" style="50" customWidth="1"/>
    <col min="12552" max="12798" width="11.42578125" style="50"/>
    <col min="12799" max="12799" width="14" style="50" customWidth="1"/>
    <col min="12800" max="12804" width="11.42578125" style="50"/>
    <col min="12805" max="12805" width="8.85546875" style="50" customWidth="1"/>
    <col min="12806" max="12806" width="11.42578125" style="50"/>
    <col min="12807" max="12807" width="11.140625" style="50" customWidth="1"/>
    <col min="12808" max="13054" width="11.42578125" style="50"/>
    <col min="13055" max="13055" width="14" style="50" customWidth="1"/>
    <col min="13056" max="13060" width="11.42578125" style="50"/>
    <col min="13061" max="13061" width="8.85546875" style="50" customWidth="1"/>
    <col min="13062" max="13062" width="11.42578125" style="50"/>
    <col min="13063" max="13063" width="11.140625" style="50" customWidth="1"/>
    <col min="13064" max="13310" width="11.42578125" style="50"/>
    <col min="13311" max="13311" width="14" style="50" customWidth="1"/>
    <col min="13312" max="13316" width="11.42578125" style="50"/>
    <col min="13317" max="13317" width="8.85546875" style="50" customWidth="1"/>
    <col min="13318" max="13318" width="11.42578125" style="50"/>
    <col min="13319" max="13319" width="11.140625" style="50" customWidth="1"/>
    <col min="13320" max="13566" width="11.42578125" style="50"/>
    <col min="13567" max="13567" width="14" style="50" customWidth="1"/>
    <col min="13568" max="13572" width="11.42578125" style="50"/>
    <col min="13573" max="13573" width="8.85546875" style="50" customWidth="1"/>
    <col min="13574" max="13574" width="11.42578125" style="50"/>
    <col min="13575" max="13575" width="11.140625" style="50" customWidth="1"/>
    <col min="13576" max="13822" width="11.42578125" style="50"/>
    <col min="13823" max="13823" width="14" style="50" customWidth="1"/>
    <col min="13824" max="13828" width="11.42578125" style="50"/>
    <col min="13829" max="13829" width="8.85546875" style="50" customWidth="1"/>
    <col min="13830" max="13830" width="11.42578125" style="50"/>
    <col min="13831" max="13831" width="11.140625" style="50" customWidth="1"/>
    <col min="13832" max="14078" width="11.42578125" style="50"/>
    <col min="14079" max="14079" width="14" style="50" customWidth="1"/>
    <col min="14080" max="14084" width="11.42578125" style="50"/>
    <col min="14085" max="14085" width="8.85546875" style="50" customWidth="1"/>
    <col min="14086" max="14086" width="11.42578125" style="50"/>
    <col min="14087" max="14087" width="11.140625" style="50" customWidth="1"/>
    <col min="14088" max="14334" width="11.42578125" style="50"/>
    <col min="14335" max="14335" width="14" style="50" customWidth="1"/>
    <col min="14336" max="14340" width="11.42578125" style="50"/>
    <col min="14341" max="14341" width="8.85546875" style="50" customWidth="1"/>
    <col min="14342" max="14342" width="11.42578125" style="50"/>
    <col min="14343" max="14343" width="11.140625" style="50" customWidth="1"/>
    <col min="14344" max="14590" width="11.42578125" style="50"/>
    <col min="14591" max="14591" width="14" style="50" customWidth="1"/>
    <col min="14592" max="14596" width="11.42578125" style="50"/>
    <col min="14597" max="14597" width="8.85546875" style="50" customWidth="1"/>
    <col min="14598" max="14598" width="11.42578125" style="50"/>
    <col min="14599" max="14599" width="11.140625" style="50" customWidth="1"/>
    <col min="14600" max="14846" width="11.42578125" style="50"/>
    <col min="14847" max="14847" width="14" style="50" customWidth="1"/>
    <col min="14848" max="14852" width="11.42578125" style="50"/>
    <col min="14853" max="14853" width="8.85546875" style="50" customWidth="1"/>
    <col min="14854" max="14854" width="11.42578125" style="50"/>
    <col min="14855" max="14855" width="11.140625" style="50" customWidth="1"/>
    <col min="14856" max="15102" width="11.42578125" style="50"/>
    <col min="15103" max="15103" width="14" style="50" customWidth="1"/>
    <col min="15104" max="15108" width="11.42578125" style="50"/>
    <col min="15109" max="15109" width="8.85546875" style="50" customWidth="1"/>
    <col min="15110" max="15110" width="11.42578125" style="50"/>
    <col min="15111" max="15111" width="11.140625" style="50" customWidth="1"/>
    <col min="15112" max="15358" width="11.42578125" style="50"/>
    <col min="15359" max="15359" width="14" style="50" customWidth="1"/>
    <col min="15360" max="15364" width="11.42578125" style="50"/>
    <col min="15365" max="15365" width="8.85546875" style="50" customWidth="1"/>
    <col min="15366" max="15366" width="11.42578125" style="50"/>
    <col min="15367" max="15367" width="11.140625" style="50" customWidth="1"/>
    <col min="15368" max="15614" width="11.42578125" style="50"/>
    <col min="15615" max="15615" width="14" style="50" customWidth="1"/>
    <col min="15616" max="15620" width="11.42578125" style="50"/>
    <col min="15621" max="15621" width="8.85546875" style="50" customWidth="1"/>
    <col min="15622" max="15622" width="11.42578125" style="50"/>
    <col min="15623" max="15623" width="11.140625" style="50" customWidth="1"/>
    <col min="15624" max="15870" width="11.42578125" style="50"/>
    <col min="15871" max="15871" width="14" style="50" customWidth="1"/>
    <col min="15872" max="15876" width="11.42578125" style="50"/>
    <col min="15877" max="15877" width="8.85546875" style="50" customWidth="1"/>
    <col min="15878" max="15878" width="11.42578125" style="50"/>
    <col min="15879" max="15879" width="11.140625" style="50" customWidth="1"/>
    <col min="15880" max="16126" width="11.42578125" style="50"/>
    <col min="16127" max="16127" width="14" style="50" customWidth="1"/>
    <col min="16128" max="16132" width="11.42578125" style="50"/>
    <col min="16133" max="16133" width="8.85546875" style="50" customWidth="1"/>
    <col min="16134" max="16134" width="11.42578125" style="50"/>
    <col min="16135" max="16135" width="11.140625" style="50" customWidth="1"/>
    <col min="16136" max="16384" width="11.42578125" style="50"/>
  </cols>
  <sheetData>
    <row r="1" spans="1:13" s="48" customFormat="1" ht="42.75" customHeight="1" x14ac:dyDescent="0.2">
      <c r="A1" s="48" t="s">
        <v>128</v>
      </c>
      <c r="C1" s="47" t="s">
        <v>69</v>
      </c>
      <c r="D1" s="56" t="s">
        <v>82</v>
      </c>
      <c r="E1" s="57" t="s">
        <v>143</v>
      </c>
      <c r="F1" s="57" t="s">
        <v>142</v>
      </c>
      <c r="H1" s="47" t="s">
        <v>69</v>
      </c>
      <c r="I1" s="56" t="s">
        <v>81</v>
      </c>
      <c r="J1" s="57" t="s">
        <v>143</v>
      </c>
      <c r="K1" s="57" t="s">
        <v>142</v>
      </c>
      <c r="L1" s="226" t="s">
        <v>75</v>
      </c>
      <c r="M1" s="226"/>
    </row>
    <row r="2" spans="1:13" x14ac:dyDescent="0.2">
      <c r="A2" s="50" t="s">
        <v>126</v>
      </c>
      <c r="B2" s="51"/>
      <c r="C2" s="49">
        <v>1</v>
      </c>
      <c r="D2" s="58">
        <v>482300</v>
      </c>
      <c r="E2" s="59" t="s">
        <v>43</v>
      </c>
      <c r="F2" s="59" t="s">
        <v>43</v>
      </c>
      <c r="G2" s="51"/>
      <c r="H2" s="49">
        <v>1</v>
      </c>
      <c r="I2" s="58">
        <v>694100</v>
      </c>
      <c r="J2" s="59" t="s">
        <v>57</v>
      </c>
      <c r="K2" s="59" t="s">
        <v>57</v>
      </c>
    </row>
    <row r="3" spans="1:13" x14ac:dyDescent="0.2">
      <c r="A3" s="50" t="s">
        <v>125</v>
      </c>
      <c r="B3" s="51"/>
      <c r="C3" s="49">
        <v>2</v>
      </c>
      <c r="D3" s="58">
        <v>426100</v>
      </c>
      <c r="E3" s="59" t="s">
        <v>92</v>
      </c>
      <c r="F3" s="59" t="s">
        <v>92</v>
      </c>
      <c r="G3" s="51"/>
      <c r="H3" s="49">
        <v>2</v>
      </c>
      <c r="I3" s="58">
        <v>711200</v>
      </c>
      <c r="J3" s="59" t="s">
        <v>54</v>
      </c>
      <c r="K3" s="59" t="s">
        <v>54</v>
      </c>
    </row>
    <row r="4" spans="1:13" x14ac:dyDescent="0.2">
      <c r="B4" s="51"/>
      <c r="C4" s="49">
        <v>3</v>
      </c>
      <c r="D4" s="58">
        <v>403300</v>
      </c>
      <c r="E4" s="59" t="s">
        <v>91</v>
      </c>
      <c r="F4" s="59" t="s">
        <v>91</v>
      </c>
      <c r="G4" s="51"/>
      <c r="H4" s="49">
        <v>3</v>
      </c>
      <c r="I4" s="58">
        <v>769100</v>
      </c>
      <c r="J4" s="59" t="s">
        <v>97</v>
      </c>
      <c r="K4" s="59" t="s">
        <v>97</v>
      </c>
    </row>
    <row r="5" spans="1:13" x14ac:dyDescent="0.2">
      <c r="B5" s="51"/>
      <c r="C5" s="49">
        <v>4</v>
      </c>
      <c r="D5" s="58">
        <v>474900</v>
      </c>
      <c r="E5" s="59" t="s">
        <v>41</v>
      </c>
      <c r="F5" s="59" t="s">
        <v>41</v>
      </c>
      <c r="G5" s="51"/>
      <c r="H5" s="49">
        <v>4</v>
      </c>
      <c r="I5" s="58">
        <v>699910</v>
      </c>
      <c r="J5" s="59" t="s">
        <v>67</v>
      </c>
      <c r="K5" s="59" t="s">
        <v>67</v>
      </c>
    </row>
    <row r="6" spans="1:13" x14ac:dyDescent="0.2">
      <c r="B6" s="51"/>
      <c r="C6" s="49">
        <v>5</v>
      </c>
      <c r="D6" s="58">
        <v>401500</v>
      </c>
      <c r="E6" s="59" t="s">
        <v>40</v>
      </c>
      <c r="F6" s="59" t="s">
        <v>40</v>
      </c>
      <c r="G6" s="51"/>
      <c r="H6" s="49">
        <v>5</v>
      </c>
      <c r="I6" s="58">
        <v>691200</v>
      </c>
      <c r="J6" s="59" t="s">
        <v>93</v>
      </c>
      <c r="K6" s="59" t="s">
        <v>93</v>
      </c>
    </row>
    <row r="7" spans="1:13" x14ac:dyDescent="0.2">
      <c r="B7" s="51"/>
      <c r="C7" s="49">
        <v>6</v>
      </c>
      <c r="D7" s="58">
        <v>539900</v>
      </c>
      <c r="E7" s="59" t="s">
        <v>44</v>
      </c>
      <c r="F7" s="59" t="s">
        <v>44</v>
      </c>
      <c r="G7" s="51"/>
      <c r="H7" s="49">
        <v>6</v>
      </c>
      <c r="I7" s="58">
        <v>691700</v>
      </c>
      <c r="J7" s="59" t="s">
        <v>95</v>
      </c>
      <c r="K7" s="59" t="s">
        <v>95</v>
      </c>
    </row>
    <row r="8" spans="1:13" x14ac:dyDescent="0.2">
      <c r="B8" s="51"/>
      <c r="C8" s="49">
        <v>7</v>
      </c>
      <c r="D8" s="58">
        <v>585000</v>
      </c>
      <c r="E8" s="59" t="s">
        <v>45</v>
      </c>
      <c r="F8" s="59" t="s">
        <v>45</v>
      </c>
      <c r="G8" s="51"/>
      <c r="H8" s="49">
        <v>7</v>
      </c>
      <c r="I8" s="58">
        <v>691100</v>
      </c>
      <c r="J8" s="59" t="s">
        <v>52</v>
      </c>
      <c r="K8" s="59" t="s">
        <v>52</v>
      </c>
    </row>
    <row r="9" spans="1:13" x14ac:dyDescent="0.2">
      <c r="B9" s="51"/>
      <c r="C9" s="49">
        <v>8</v>
      </c>
      <c r="D9" s="58">
        <v>482200</v>
      </c>
      <c r="E9" s="59" t="s">
        <v>42</v>
      </c>
      <c r="F9" s="59" t="s">
        <v>42</v>
      </c>
      <c r="G9" s="51"/>
      <c r="H9" s="49">
        <v>8</v>
      </c>
      <c r="I9" s="58">
        <v>699930</v>
      </c>
      <c r="J9" s="59" t="s">
        <v>160</v>
      </c>
      <c r="K9" s="59" t="s">
        <v>160</v>
      </c>
    </row>
    <row r="10" spans="1:13" x14ac:dyDescent="0.2">
      <c r="B10" s="51"/>
      <c r="C10" s="49">
        <v>9</v>
      </c>
      <c r="D10" s="50" t="s">
        <v>68</v>
      </c>
      <c r="E10" s="51" t="s">
        <v>46</v>
      </c>
      <c r="F10" s="51" t="s">
        <v>46</v>
      </c>
      <c r="G10" s="51"/>
      <c r="H10" s="49">
        <v>9</v>
      </c>
      <c r="I10" s="58">
        <v>699920</v>
      </c>
      <c r="J10" s="59" t="s">
        <v>159</v>
      </c>
      <c r="K10" s="59" t="s">
        <v>159</v>
      </c>
    </row>
    <row r="11" spans="1:13" x14ac:dyDescent="0.2">
      <c r="B11" s="51"/>
      <c r="C11" s="49">
        <v>10</v>
      </c>
      <c r="G11" s="51"/>
      <c r="H11" s="49">
        <v>10</v>
      </c>
      <c r="I11" s="58">
        <v>688200</v>
      </c>
      <c r="J11" s="59" t="s">
        <v>51</v>
      </c>
      <c r="K11" s="59" t="s">
        <v>51</v>
      </c>
    </row>
    <row r="12" spans="1:13" x14ac:dyDescent="0.2">
      <c r="B12" s="51"/>
      <c r="C12" s="49">
        <v>11</v>
      </c>
      <c r="G12" s="51"/>
      <c r="H12" s="49">
        <v>11</v>
      </c>
      <c r="I12" s="58">
        <v>712100</v>
      </c>
      <c r="J12" s="59" t="s">
        <v>63</v>
      </c>
      <c r="K12" s="59" t="s">
        <v>161</v>
      </c>
    </row>
    <row r="13" spans="1:13" x14ac:dyDescent="0.2">
      <c r="B13" s="51"/>
      <c r="C13" s="49">
        <v>12</v>
      </c>
      <c r="G13" s="51"/>
      <c r="H13" s="49">
        <v>12</v>
      </c>
      <c r="I13" s="58">
        <v>715100</v>
      </c>
      <c r="J13" s="59" t="s">
        <v>96</v>
      </c>
      <c r="K13" s="59" t="s">
        <v>96</v>
      </c>
    </row>
    <row r="14" spans="1:13" x14ac:dyDescent="0.2">
      <c r="B14" s="51"/>
      <c r="C14" s="49">
        <v>13</v>
      </c>
      <c r="G14" s="51"/>
      <c r="H14" s="49">
        <v>13</v>
      </c>
      <c r="I14" s="58">
        <v>712200</v>
      </c>
      <c r="J14" s="59" t="s">
        <v>64</v>
      </c>
      <c r="K14" s="59" t="s">
        <v>64</v>
      </c>
    </row>
    <row r="15" spans="1:13" x14ac:dyDescent="0.2">
      <c r="B15" s="51"/>
      <c r="C15" s="49">
        <v>14</v>
      </c>
      <c r="G15" s="51"/>
      <c r="H15" s="49">
        <v>14</v>
      </c>
      <c r="I15" s="58">
        <v>714000</v>
      </c>
      <c r="J15" s="59" t="s">
        <v>65</v>
      </c>
      <c r="K15" s="59" t="s">
        <v>65</v>
      </c>
    </row>
    <row r="16" spans="1:13" x14ac:dyDescent="0.2">
      <c r="B16" s="51"/>
      <c r="C16" s="49">
        <v>15</v>
      </c>
      <c r="G16" s="51"/>
      <c r="H16" s="49">
        <v>15</v>
      </c>
      <c r="I16" s="58">
        <v>688100</v>
      </c>
      <c r="J16" s="59" t="s">
        <v>50</v>
      </c>
      <c r="K16" s="59" t="s">
        <v>50</v>
      </c>
    </row>
    <row r="17" spans="2:11" x14ac:dyDescent="0.2">
      <c r="B17" s="51"/>
      <c r="C17" s="49">
        <v>16</v>
      </c>
      <c r="G17" s="51"/>
      <c r="H17" s="49">
        <v>16</v>
      </c>
      <c r="I17" s="58">
        <v>695100</v>
      </c>
      <c r="J17" s="59" t="s">
        <v>58</v>
      </c>
      <c r="K17" s="59" t="s">
        <v>58</v>
      </c>
    </row>
    <row r="18" spans="2:11" x14ac:dyDescent="0.2">
      <c r="B18" s="51"/>
      <c r="C18" s="49">
        <v>17</v>
      </c>
      <c r="G18" s="51"/>
      <c r="H18" s="49">
        <v>17</v>
      </c>
      <c r="I18" s="58">
        <v>699300</v>
      </c>
      <c r="J18" s="59" t="s">
        <v>105</v>
      </c>
      <c r="K18" s="59" t="s">
        <v>105</v>
      </c>
    </row>
    <row r="19" spans="2:11" x14ac:dyDescent="0.2">
      <c r="B19" s="51"/>
      <c r="C19" s="49">
        <v>18</v>
      </c>
      <c r="G19" s="51"/>
      <c r="H19" s="49">
        <v>18</v>
      </c>
      <c r="I19" s="58">
        <v>691400</v>
      </c>
      <c r="J19" s="59" t="s">
        <v>94</v>
      </c>
      <c r="K19" s="59" t="s">
        <v>94</v>
      </c>
    </row>
    <row r="20" spans="2:11" x14ac:dyDescent="0.2">
      <c r="B20" s="51"/>
      <c r="C20" s="49">
        <v>19</v>
      </c>
      <c r="G20" s="51"/>
      <c r="H20" s="49">
        <v>19</v>
      </c>
      <c r="I20" s="58">
        <v>691300</v>
      </c>
      <c r="J20" s="59" t="s">
        <v>53</v>
      </c>
      <c r="K20" s="59" t="s">
        <v>53</v>
      </c>
    </row>
    <row r="21" spans="2:11" x14ac:dyDescent="0.2">
      <c r="B21" s="51"/>
      <c r="C21" s="49">
        <v>20</v>
      </c>
      <c r="G21" s="51"/>
      <c r="H21" s="49">
        <v>20</v>
      </c>
      <c r="I21" s="58">
        <v>693000</v>
      </c>
      <c r="J21" s="59" t="s">
        <v>56</v>
      </c>
      <c r="K21" s="59" t="s">
        <v>56</v>
      </c>
    </row>
    <row r="22" spans="2:11" x14ac:dyDescent="0.2">
      <c r="B22" s="51"/>
      <c r="C22" s="49">
        <v>21</v>
      </c>
      <c r="G22" s="51"/>
      <c r="H22" s="49">
        <v>21</v>
      </c>
      <c r="I22" s="58">
        <v>695900</v>
      </c>
      <c r="J22" s="59" t="s">
        <v>60</v>
      </c>
      <c r="K22" s="59" t="s">
        <v>162</v>
      </c>
    </row>
    <row r="23" spans="2:11" x14ac:dyDescent="0.2">
      <c r="B23" s="51"/>
      <c r="C23" s="49">
        <v>22</v>
      </c>
      <c r="G23" s="51"/>
      <c r="H23" s="49">
        <v>22</v>
      </c>
      <c r="I23" s="58">
        <v>763000</v>
      </c>
      <c r="J23" s="59" t="s">
        <v>66</v>
      </c>
      <c r="K23" s="59" t="s">
        <v>66</v>
      </c>
    </row>
    <row r="24" spans="2:11" x14ac:dyDescent="0.2">
      <c r="B24" s="51"/>
      <c r="C24" s="49">
        <v>23</v>
      </c>
      <c r="G24" s="51"/>
      <c r="H24" s="49">
        <v>23</v>
      </c>
      <c r="I24" s="58">
        <v>699990</v>
      </c>
      <c r="J24" s="59" t="s">
        <v>62</v>
      </c>
      <c r="K24" s="59" t="s">
        <v>163</v>
      </c>
    </row>
    <row r="25" spans="2:11" x14ac:dyDescent="0.2">
      <c r="B25" s="51"/>
      <c r="C25" s="49">
        <v>24</v>
      </c>
      <c r="G25" s="51"/>
      <c r="H25" s="49">
        <v>24</v>
      </c>
      <c r="I25" s="58">
        <v>679100</v>
      </c>
      <c r="J25" s="59" t="s">
        <v>48</v>
      </c>
      <c r="K25" s="59" t="s">
        <v>48</v>
      </c>
    </row>
    <row r="26" spans="2:11" x14ac:dyDescent="0.2">
      <c r="B26" s="51"/>
      <c r="C26" s="49">
        <v>25</v>
      </c>
      <c r="G26" s="51"/>
      <c r="H26" s="49">
        <v>25</v>
      </c>
      <c r="I26" s="58">
        <v>691800</v>
      </c>
      <c r="J26" s="59" t="s">
        <v>55</v>
      </c>
      <c r="K26" s="59" t="s">
        <v>55</v>
      </c>
    </row>
    <row r="27" spans="2:11" x14ac:dyDescent="0.2">
      <c r="B27" s="51"/>
      <c r="C27" s="49">
        <v>26</v>
      </c>
      <c r="G27" s="51"/>
      <c r="H27" s="49">
        <v>26</v>
      </c>
      <c r="I27" s="58">
        <v>639000</v>
      </c>
      <c r="J27" s="59" t="s">
        <v>47</v>
      </c>
      <c r="K27" s="59" t="s">
        <v>47</v>
      </c>
    </row>
    <row r="28" spans="2:11" x14ac:dyDescent="0.2">
      <c r="B28" s="51"/>
      <c r="C28" s="49">
        <v>27</v>
      </c>
      <c r="G28" s="51"/>
      <c r="H28" s="49">
        <v>27</v>
      </c>
      <c r="I28" s="58">
        <v>695200</v>
      </c>
      <c r="J28" s="59" t="s">
        <v>59</v>
      </c>
      <c r="K28" s="59" t="s">
        <v>59</v>
      </c>
    </row>
    <row r="29" spans="2:11" x14ac:dyDescent="0.2">
      <c r="B29" s="51"/>
      <c r="C29" s="49">
        <v>28</v>
      </c>
      <c r="G29" s="51"/>
      <c r="H29" s="49">
        <v>28</v>
      </c>
      <c r="I29" s="58">
        <v>699600</v>
      </c>
      <c r="J29" s="59" t="s">
        <v>61</v>
      </c>
      <c r="K29" s="59" t="s">
        <v>61</v>
      </c>
    </row>
    <row r="30" spans="2:11" x14ac:dyDescent="0.2">
      <c r="B30" s="51"/>
      <c r="C30" s="49">
        <v>29</v>
      </c>
      <c r="G30" s="51"/>
      <c r="H30" s="49">
        <v>29</v>
      </c>
      <c r="I30" s="58">
        <v>681000</v>
      </c>
      <c r="J30" s="59" t="s">
        <v>49</v>
      </c>
      <c r="K30" s="59" t="s">
        <v>164</v>
      </c>
    </row>
    <row r="31" spans="2:11" x14ac:dyDescent="0.2">
      <c r="B31" s="51"/>
      <c r="C31" s="49">
        <v>30</v>
      </c>
      <c r="G31" s="51"/>
      <c r="H31" s="49">
        <v>30</v>
      </c>
      <c r="I31" s="58"/>
      <c r="J31" s="51"/>
      <c r="K31" s="51"/>
    </row>
    <row r="32" spans="2:11" x14ac:dyDescent="0.2">
      <c r="B32" s="51"/>
      <c r="C32" s="49">
        <v>31</v>
      </c>
      <c r="G32" s="51"/>
      <c r="H32" s="49">
        <v>31</v>
      </c>
      <c r="I32" s="58"/>
      <c r="J32" s="51"/>
      <c r="K32" s="51"/>
    </row>
    <row r="33" spans="2:12" x14ac:dyDescent="0.2">
      <c r="B33" s="51"/>
      <c r="C33" s="49">
        <v>32</v>
      </c>
      <c r="G33" s="51"/>
      <c r="H33" s="49">
        <v>32</v>
      </c>
      <c r="I33" s="58"/>
      <c r="J33" s="51"/>
      <c r="K33" s="51"/>
    </row>
    <row r="34" spans="2:12" x14ac:dyDescent="0.2">
      <c r="B34" s="51"/>
      <c r="C34" s="49">
        <v>33</v>
      </c>
      <c r="D34" s="52"/>
      <c r="E34" s="51"/>
      <c r="F34" s="51"/>
      <c r="G34" s="51"/>
      <c r="H34" s="49">
        <v>33</v>
      </c>
      <c r="I34" s="58"/>
      <c r="J34" s="51"/>
      <c r="K34" s="51"/>
      <c r="L34" s="51"/>
    </row>
    <row r="35" spans="2:12" x14ac:dyDescent="0.2">
      <c r="B35" s="51"/>
      <c r="C35" s="49">
        <v>34</v>
      </c>
      <c r="D35" s="52"/>
      <c r="E35" s="51"/>
      <c r="F35" s="51"/>
      <c r="G35" s="51"/>
      <c r="H35" s="49">
        <v>34</v>
      </c>
      <c r="I35" s="52"/>
      <c r="J35" s="51"/>
      <c r="K35" s="51"/>
      <c r="L35" s="51"/>
    </row>
    <row r="36" spans="2:12" x14ac:dyDescent="0.2">
      <c r="B36" s="51"/>
      <c r="C36" s="49">
        <v>35</v>
      </c>
      <c r="D36" s="52"/>
      <c r="E36" s="51"/>
      <c r="F36" s="51"/>
      <c r="G36" s="51"/>
      <c r="H36" s="49">
        <v>35</v>
      </c>
      <c r="I36" s="52"/>
      <c r="J36" s="51"/>
      <c r="K36" s="51"/>
      <c r="L36" s="51"/>
    </row>
    <row r="37" spans="2:12" x14ac:dyDescent="0.2">
      <c r="B37" s="51"/>
      <c r="C37" s="49">
        <v>36</v>
      </c>
      <c r="D37" s="52"/>
      <c r="E37" s="51"/>
      <c r="F37" s="51"/>
      <c r="G37" s="51"/>
      <c r="H37" s="49">
        <v>36</v>
      </c>
      <c r="I37" s="52"/>
      <c r="J37" s="51"/>
      <c r="K37" s="51"/>
      <c r="L37" s="51"/>
    </row>
    <row r="38" spans="2:12" x14ac:dyDescent="0.2">
      <c r="B38" s="51"/>
      <c r="C38" s="49">
        <v>37</v>
      </c>
      <c r="D38" s="52"/>
      <c r="E38" s="51"/>
      <c r="F38" s="51"/>
      <c r="G38" s="51"/>
      <c r="H38" s="49">
        <v>37</v>
      </c>
      <c r="I38" s="52"/>
      <c r="J38" s="51"/>
      <c r="K38" s="51"/>
      <c r="L38" s="51"/>
    </row>
    <row r="39" spans="2:12" x14ac:dyDescent="0.2">
      <c r="B39" s="51"/>
      <c r="C39" s="49">
        <v>38</v>
      </c>
      <c r="D39" s="52"/>
      <c r="E39" s="51"/>
      <c r="F39" s="51"/>
      <c r="G39" s="51"/>
      <c r="H39" s="49">
        <v>38</v>
      </c>
      <c r="I39" s="52"/>
      <c r="J39" s="51"/>
      <c r="K39" s="51"/>
      <c r="L39" s="51"/>
    </row>
    <row r="40" spans="2:12" x14ac:dyDescent="0.2">
      <c r="B40" s="51"/>
      <c r="C40" s="49">
        <v>39</v>
      </c>
      <c r="D40" s="52"/>
      <c r="E40" s="51"/>
      <c r="F40" s="51"/>
      <c r="G40" s="51"/>
      <c r="H40" s="49">
        <v>39</v>
      </c>
      <c r="I40" s="52"/>
      <c r="J40" s="51"/>
      <c r="K40" s="51"/>
      <c r="L40" s="51"/>
    </row>
    <row r="41" spans="2:12" x14ac:dyDescent="0.2">
      <c r="B41" s="51"/>
      <c r="C41" s="49">
        <v>40</v>
      </c>
      <c r="D41" s="52"/>
      <c r="E41" s="51"/>
      <c r="F41" s="51"/>
      <c r="G41" s="51"/>
      <c r="H41" s="49">
        <v>40</v>
      </c>
      <c r="I41" s="52"/>
      <c r="J41" s="51"/>
      <c r="K41" s="51"/>
      <c r="L41" s="51"/>
    </row>
    <row r="42" spans="2:12" x14ac:dyDescent="0.2">
      <c r="B42" s="51"/>
      <c r="C42" s="49">
        <v>41</v>
      </c>
      <c r="D42" s="52"/>
      <c r="E42" s="51"/>
      <c r="F42" s="51"/>
      <c r="G42" s="51"/>
      <c r="H42" s="49">
        <v>41</v>
      </c>
      <c r="I42" s="52"/>
      <c r="J42" s="51"/>
      <c r="K42" s="51"/>
      <c r="L42" s="51"/>
    </row>
    <row r="43" spans="2:12" x14ac:dyDescent="0.2">
      <c r="B43" s="51"/>
      <c r="C43" s="49">
        <v>42</v>
      </c>
      <c r="D43" s="52"/>
      <c r="E43" s="51"/>
      <c r="F43" s="51"/>
      <c r="G43" s="51"/>
      <c r="H43" s="49">
        <v>42</v>
      </c>
      <c r="I43" s="52"/>
      <c r="J43" s="51"/>
      <c r="K43" s="51"/>
      <c r="L43" s="51"/>
    </row>
    <row r="44" spans="2:12" x14ac:dyDescent="0.2">
      <c r="B44" s="51"/>
      <c r="C44" s="49">
        <v>43</v>
      </c>
      <c r="D44" s="52"/>
      <c r="E44" s="51"/>
      <c r="F44" s="51"/>
      <c r="G44" s="51"/>
      <c r="H44" s="49">
        <v>43</v>
      </c>
      <c r="I44" s="52"/>
      <c r="J44" s="51"/>
      <c r="K44" s="51"/>
      <c r="L44" s="51"/>
    </row>
    <row r="45" spans="2:12" x14ac:dyDescent="0.2">
      <c r="C45" s="49">
        <v>44</v>
      </c>
      <c r="D45" s="52"/>
      <c r="H45" s="49">
        <v>44</v>
      </c>
      <c r="I45" s="52"/>
      <c r="L45" s="51"/>
    </row>
    <row r="46" spans="2:12" x14ac:dyDescent="0.2">
      <c r="C46" s="49">
        <v>45</v>
      </c>
      <c r="D46" s="52"/>
      <c r="H46" s="49">
        <v>45</v>
      </c>
      <c r="I46" s="52"/>
      <c r="L46" s="51"/>
    </row>
    <row r="47" spans="2:12" x14ac:dyDescent="0.2">
      <c r="C47" s="49">
        <v>46</v>
      </c>
      <c r="D47" s="52"/>
      <c r="H47" s="49">
        <v>46</v>
      </c>
      <c r="I47" s="52"/>
    </row>
    <row r="48" spans="2:12" x14ac:dyDescent="0.2">
      <c r="C48" s="49">
        <v>47</v>
      </c>
      <c r="D48" s="52"/>
      <c r="H48" s="49">
        <v>47</v>
      </c>
      <c r="I48" s="52"/>
    </row>
    <row r="49" spans="3:9" x14ac:dyDescent="0.2">
      <c r="C49" s="49">
        <v>48</v>
      </c>
      <c r="D49" s="52"/>
      <c r="H49" s="49">
        <v>48</v>
      </c>
      <c r="I49" s="52"/>
    </row>
    <row r="50" spans="3:9" x14ac:dyDescent="0.2">
      <c r="C50" s="49">
        <v>49</v>
      </c>
      <c r="D50" s="52"/>
      <c r="H50" s="49">
        <v>49</v>
      </c>
      <c r="I50" s="52"/>
    </row>
    <row r="51" spans="3:9" x14ac:dyDescent="0.2">
      <c r="C51" s="49">
        <v>50</v>
      </c>
      <c r="D51" s="52"/>
      <c r="H51" s="49">
        <v>50</v>
      </c>
      <c r="I51" s="52"/>
    </row>
  </sheetData>
  <sheetProtection password="C597" sheet="1" objects="1" scenarios="1" selectLockedCells="1"/>
  <sortState ref="I2:K30">
    <sortCondition ref="J2:J30"/>
  </sortState>
  <mergeCells count="1">
    <mergeCell ref="L1:M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tabColor theme="7" tint="-0.249977111117893"/>
    <pageSetUpPr fitToPage="1"/>
  </sheetPr>
  <dimension ref="A1:Y69"/>
  <sheetViews>
    <sheetView showGridLines="0" tabSelected="1" zoomScaleNormal="100" workbookViewId="0">
      <selection activeCell="K2" sqref="K2:K4"/>
    </sheetView>
  </sheetViews>
  <sheetFormatPr baseColWidth="10" defaultColWidth="11.42578125" defaultRowHeight="12.75" x14ac:dyDescent="0.2"/>
  <cols>
    <col min="1" max="1" width="5.140625" style="65" customWidth="1"/>
    <col min="2" max="2" width="8.7109375" style="65" customWidth="1"/>
    <col min="3" max="3" width="1.28515625" style="65" customWidth="1"/>
    <col min="4" max="4" width="38.5703125" style="65" customWidth="1"/>
    <col min="5" max="5" width="13.28515625" style="65" customWidth="1"/>
    <col min="6" max="7" width="10.140625" style="65" customWidth="1"/>
    <col min="8" max="8" width="11.42578125" style="65"/>
    <col min="9" max="9" width="12.28515625" style="65" customWidth="1"/>
    <col min="10" max="10" width="2.140625" style="65" customWidth="1"/>
    <col min="11" max="11" width="11.5703125" style="186" customWidth="1"/>
    <col min="12" max="12" width="2.140625" style="65" customWidth="1"/>
    <col min="13" max="13" width="14.42578125" style="65" customWidth="1"/>
    <col min="14" max="15" width="14.140625" style="65" customWidth="1"/>
    <col min="16" max="16" width="2.140625" style="186" customWidth="1"/>
    <col min="17" max="17" width="11.5703125" style="186" hidden="1" customWidth="1"/>
    <col min="18" max="18" width="6.85546875" style="186" hidden="1" customWidth="1"/>
    <col min="19" max="19" width="16.140625" style="64" hidden="1" customWidth="1"/>
    <col min="20" max="20" width="9" style="64" hidden="1" customWidth="1"/>
    <col min="21" max="21" width="11.42578125" style="64" hidden="1" customWidth="1"/>
    <col min="22" max="22" width="2.7109375" style="65" hidden="1" customWidth="1"/>
    <col min="23" max="25" width="11.42578125" style="65" hidden="1" customWidth="1"/>
    <col min="26" max="26" width="11.42578125" style="65" customWidth="1"/>
    <col min="27" max="16384" width="11.42578125" style="65"/>
  </cols>
  <sheetData>
    <row r="1" spans="1:21" x14ac:dyDescent="0.2">
      <c r="A1" s="63"/>
      <c r="B1" s="63"/>
      <c r="C1" s="63"/>
      <c r="D1" s="63"/>
      <c r="E1" s="63"/>
      <c r="F1" s="63"/>
      <c r="G1" s="63"/>
      <c r="H1" s="63"/>
      <c r="I1" s="63"/>
      <c r="J1" s="63"/>
      <c r="K1" s="180"/>
      <c r="L1" s="63"/>
      <c r="M1" s="63"/>
      <c r="N1" s="63"/>
      <c r="O1" s="63"/>
      <c r="P1" s="180"/>
      <c r="Q1" s="180"/>
      <c r="R1" s="180"/>
      <c r="S1" s="79"/>
    </row>
    <row r="2" spans="1:21" s="67" customFormat="1" ht="12.75" customHeight="1" x14ac:dyDescent="0.2">
      <c r="A2" s="66"/>
      <c r="B2" s="66"/>
      <c r="C2" s="66"/>
      <c r="D2" s="235" t="s">
        <v>9</v>
      </c>
      <c r="E2" s="66"/>
      <c r="H2" s="237" t="str">
        <f>IF($K$2="","","RT "&amp;VLOOKUP($K$2,RT!$A$2:$G$636,4,FALSE))</f>
        <v/>
      </c>
      <c r="I2" s="237"/>
      <c r="J2" s="66"/>
      <c r="K2" s="239"/>
      <c r="L2" s="66"/>
      <c r="M2" s="234" t="s">
        <v>10</v>
      </c>
      <c r="N2" s="234"/>
      <c r="O2" s="190"/>
      <c r="P2" s="181"/>
      <c r="Q2" s="181"/>
      <c r="R2" s="181"/>
      <c r="S2" s="68"/>
      <c r="T2" s="68"/>
      <c r="U2" s="68"/>
    </row>
    <row r="3" spans="1:21" s="67" customFormat="1" ht="12.75" customHeight="1" x14ac:dyDescent="0.2">
      <c r="A3" s="66"/>
      <c r="B3" s="66"/>
      <c r="C3" s="66"/>
      <c r="D3" s="235"/>
      <c r="E3" s="66"/>
      <c r="F3" s="66"/>
      <c r="G3" s="66"/>
      <c r="H3" s="237"/>
      <c r="I3" s="237"/>
      <c r="J3" s="66"/>
      <c r="K3" s="239"/>
      <c r="L3" s="66"/>
      <c r="M3" s="234"/>
      <c r="N3" s="234"/>
      <c r="O3" s="190"/>
      <c r="P3" s="181"/>
      <c r="Q3" s="181"/>
      <c r="R3" s="181"/>
      <c r="S3" s="68"/>
      <c r="T3" s="68"/>
      <c r="U3" s="68"/>
    </row>
    <row r="4" spans="1:21" s="67" customFormat="1" ht="12.75" customHeight="1" x14ac:dyDescent="0.2">
      <c r="A4" s="66"/>
      <c r="B4" s="66"/>
      <c r="C4" s="66"/>
      <c r="D4" s="235"/>
      <c r="E4" s="66"/>
      <c r="F4" s="66"/>
      <c r="G4" s="66"/>
      <c r="H4" s="237"/>
      <c r="I4" s="237"/>
      <c r="J4" s="66"/>
      <c r="K4" s="239"/>
      <c r="L4" s="66"/>
      <c r="M4" s="234"/>
      <c r="N4" s="234"/>
      <c r="O4" s="190"/>
      <c r="P4" s="181"/>
      <c r="Q4" s="181"/>
      <c r="R4" s="181"/>
      <c r="S4" s="68"/>
      <c r="T4" s="68"/>
      <c r="U4" s="68"/>
    </row>
    <row r="5" spans="1:21" s="67" customFormat="1" ht="21.75" customHeight="1" x14ac:dyDescent="0.2">
      <c r="A5" s="66"/>
      <c r="B5" s="66"/>
      <c r="C5" s="66"/>
      <c r="D5" s="238" t="str">
        <f>IF($K$2="","",VLOOKUP($K$2,RT!$A$2:$G$636,2,FALSE))</f>
        <v/>
      </c>
      <c r="E5" s="238"/>
      <c r="F5" s="238"/>
      <c r="G5" s="238"/>
      <c r="H5" s="238"/>
      <c r="I5" s="238"/>
      <c r="J5" s="66"/>
      <c r="K5" s="181"/>
      <c r="L5" s="66"/>
      <c r="N5" s="66"/>
      <c r="O5" s="66"/>
      <c r="P5" s="181"/>
      <c r="Q5" s="181"/>
      <c r="R5" s="181"/>
      <c r="S5" s="68"/>
      <c r="T5" s="68"/>
      <c r="U5" s="68"/>
    </row>
    <row r="6" spans="1:21" s="67" customFormat="1" ht="6.75" customHeight="1" x14ac:dyDescent="0.2">
      <c r="A6" s="66"/>
      <c r="B6" s="66"/>
      <c r="C6" s="66"/>
      <c r="E6" s="66"/>
      <c r="F6" s="66"/>
      <c r="G6" s="66"/>
      <c r="H6" s="66"/>
      <c r="I6" s="66"/>
      <c r="J6" s="66"/>
      <c r="K6" s="181"/>
      <c r="L6" s="66"/>
      <c r="N6" s="66"/>
      <c r="O6" s="66"/>
      <c r="P6" s="181"/>
      <c r="Q6" s="181"/>
      <c r="R6" s="181"/>
      <c r="S6" s="68"/>
      <c r="T6" s="68"/>
      <c r="U6" s="68"/>
    </row>
    <row r="7" spans="1:21" s="67" customFormat="1" ht="15.75" customHeight="1" x14ac:dyDescent="0.2">
      <c r="A7" s="66"/>
      <c r="B7" s="66"/>
      <c r="C7" s="66"/>
      <c r="D7" s="236" t="s">
        <v>106</v>
      </c>
      <c r="E7" s="66"/>
      <c r="F7" s="84" t="s">
        <v>111</v>
      </c>
      <c r="G7" s="212"/>
      <c r="H7" s="84" t="s">
        <v>147</v>
      </c>
      <c r="I7" s="213"/>
      <c r="J7" s="66"/>
      <c r="K7" s="181"/>
      <c r="L7" s="66"/>
      <c r="M7" s="66"/>
      <c r="N7" s="66"/>
      <c r="O7" s="66"/>
      <c r="P7" s="181"/>
      <c r="Q7" s="181"/>
      <c r="R7" s="181"/>
      <c r="S7" s="68"/>
      <c r="T7" s="68"/>
      <c r="U7" s="68"/>
    </row>
    <row r="8" spans="1:21" s="67" customFormat="1" ht="15" x14ac:dyDescent="0.25">
      <c r="A8" s="66"/>
      <c r="B8" s="66"/>
      <c r="C8" s="66"/>
      <c r="D8" s="236"/>
      <c r="E8" s="66"/>
      <c r="F8" s="84" t="s">
        <v>148</v>
      </c>
      <c r="G8" s="229"/>
      <c r="H8" s="229"/>
      <c r="I8" s="229"/>
      <c r="J8" s="66"/>
      <c r="K8" s="181"/>
      <c r="L8" s="66"/>
      <c r="M8" s="66"/>
      <c r="N8" s="66"/>
      <c r="O8" s="66"/>
      <c r="P8" s="181"/>
      <c r="Q8" s="181"/>
      <c r="R8" s="181"/>
      <c r="S8" s="68"/>
      <c r="T8" s="68"/>
      <c r="U8" s="68"/>
    </row>
    <row r="9" spans="1:21" s="67" customFormat="1" ht="15.75" customHeight="1" x14ac:dyDescent="0.2">
      <c r="A9" s="69"/>
      <c r="B9" s="69"/>
      <c r="C9" s="69"/>
      <c r="D9" s="69"/>
      <c r="E9" s="69"/>
      <c r="F9" s="69"/>
      <c r="G9" s="69"/>
      <c r="H9" s="83"/>
      <c r="I9" s="83"/>
      <c r="J9" s="69"/>
      <c r="K9" s="182"/>
      <c r="L9" s="69"/>
      <c r="M9" s="66"/>
      <c r="N9" s="69"/>
      <c r="O9" s="69"/>
      <c r="P9" s="182"/>
      <c r="Q9" s="182"/>
      <c r="R9" s="182"/>
      <c r="S9" s="80"/>
      <c r="T9" s="68"/>
      <c r="U9" s="68"/>
    </row>
    <row r="10" spans="1:21" s="67" customFormat="1" ht="15.75" customHeight="1" x14ac:dyDescent="0.2">
      <c r="A10" s="69"/>
      <c r="B10" s="69"/>
      <c r="C10" s="69"/>
      <c r="D10" s="69"/>
      <c r="E10" s="69"/>
      <c r="F10" s="69"/>
      <c r="G10" s="69"/>
      <c r="H10" s="84" t="s">
        <v>112</v>
      </c>
      <c r="I10" s="214"/>
      <c r="J10" s="69"/>
      <c r="K10" s="230" t="s">
        <v>152</v>
      </c>
      <c r="L10" s="230"/>
      <c r="M10" s="230"/>
      <c r="N10" s="230"/>
      <c r="O10" s="230"/>
      <c r="P10" s="182"/>
      <c r="Q10" s="182"/>
      <c r="R10" s="182"/>
      <c r="S10" s="80"/>
      <c r="T10" s="68"/>
      <c r="U10" s="68"/>
    </row>
    <row r="11" spans="1:21" s="67" customFormat="1" ht="15.75" customHeight="1" x14ac:dyDescent="0.25">
      <c r="A11" s="70"/>
      <c r="B11" s="66"/>
      <c r="C11" s="66"/>
      <c r="D11" s="66"/>
      <c r="E11" s="66"/>
      <c r="F11" s="66"/>
      <c r="G11" s="66"/>
      <c r="H11" s="84" t="s">
        <v>149</v>
      </c>
      <c r="I11" s="191">
        <f>Barbestand!$H$21</f>
        <v>0</v>
      </c>
      <c r="J11" s="66"/>
      <c r="K11" s="230"/>
      <c r="L11" s="230"/>
      <c r="M11" s="230"/>
      <c r="N11" s="230"/>
      <c r="O11" s="230"/>
      <c r="P11" s="181"/>
      <c r="Q11" s="181"/>
      <c r="R11" s="181"/>
      <c r="S11" s="68"/>
      <c r="T11" s="68"/>
      <c r="U11" s="68"/>
    </row>
    <row r="12" spans="1:21" s="67" customFormat="1" ht="15.75" customHeight="1" x14ac:dyDescent="0.2">
      <c r="A12" s="71"/>
      <c r="B12" s="72"/>
      <c r="C12" s="72"/>
      <c r="E12" s="72"/>
      <c r="F12" s="72"/>
      <c r="G12" s="72"/>
      <c r="H12" s="84" t="s">
        <v>150</v>
      </c>
      <c r="I12" s="214"/>
      <c r="J12" s="72"/>
      <c r="K12" s="230"/>
      <c r="L12" s="230"/>
      <c r="M12" s="230"/>
      <c r="N12" s="230"/>
      <c r="O12" s="230"/>
      <c r="P12" s="183"/>
      <c r="Q12" s="183"/>
      <c r="R12" s="183"/>
      <c r="S12" s="81"/>
      <c r="T12" s="68"/>
      <c r="U12" s="68"/>
    </row>
    <row r="13" spans="1:21" s="67" customFormat="1" ht="15.75" customHeight="1" x14ac:dyDescent="0.25">
      <c r="A13" s="71"/>
      <c r="B13" s="72"/>
      <c r="C13" s="72"/>
      <c r="E13" s="72"/>
      <c r="F13" s="72"/>
      <c r="G13" s="72"/>
      <c r="H13" s="84" t="s">
        <v>151</v>
      </c>
      <c r="I13" s="215"/>
      <c r="J13" s="72"/>
      <c r="K13" s="230"/>
      <c r="L13" s="230"/>
      <c r="M13" s="230"/>
      <c r="N13" s="230"/>
      <c r="O13" s="230"/>
      <c r="P13" s="183"/>
      <c r="Q13" s="183"/>
      <c r="R13" s="183"/>
      <c r="S13" s="81"/>
      <c r="T13" s="68"/>
      <c r="U13" s="68"/>
    </row>
    <row r="14" spans="1:21" s="67" customFormat="1" ht="15.75" customHeight="1" x14ac:dyDescent="0.2">
      <c r="A14" s="71"/>
      <c r="B14" s="232" t="s">
        <v>115</v>
      </c>
      <c r="C14" s="232"/>
      <c r="D14" s="232"/>
      <c r="E14" s="72"/>
      <c r="F14" s="72"/>
      <c r="G14" s="72"/>
      <c r="H14" s="84" t="str">
        <f>IF(I14&lt;0,"Einzug / Überweisung aus dieser Abrechnung","Erstattung aus dieser Abrechnung")</f>
        <v>Erstattung aus dieser Abrechnung</v>
      </c>
      <c r="I14" s="211">
        <f>$H$69-$G$69</f>
        <v>0</v>
      </c>
      <c r="J14" s="72"/>
      <c r="K14" s="230"/>
      <c r="L14" s="230"/>
      <c r="M14" s="230"/>
      <c r="N14" s="230"/>
      <c r="O14" s="230"/>
      <c r="P14" s="183"/>
      <c r="Q14" s="183"/>
      <c r="R14" s="208"/>
      <c r="S14" s="81"/>
      <c r="T14" s="172"/>
      <c r="U14" s="68"/>
    </row>
    <row r="15" spans="1:21" s="67" customFormat="1" ht="15.75" customHeight="1" x14ac:dyDescent="0.2">
      <c r="A15" s="71"/>
      <c r="B15" s="233"/>
      <c r="C15" s="233"/>
      <c r="D15" s="233"/>
      <c r="E15" s="72"/>
      <c r="F15" s="72"/>
      <c r="G15" s="72"/>
      <c r="H15" s="84" t="s">
        <v>146</v>
      </c>
      <c r="I15" s="214"/>
      <c r="J15" s="72"/>
      <c r="K15" s="230"/>
      <c r="L15" s="230"/>
      <c r="M15" s="230"/>
      <c r="N15" s="230"/>
      <c r="O15" s="230"/>
      <c r="P15" s="183"/>
      <c r="Q15" s="183"/>
      <c r="R15" s="208"/>
      <c r="S15" s="81"/>
      <c r="T15" s="172"/>
      <c r="U15" s="68"/>
    </row>
    <row r="16" spans="1:21" s="67" customFormat="1" ht="15" customHeight="1" x14ac:dyDescent="0.2">
      <c r="A16" s="72"/>
      <c r="B16" s="233"/>
      <c r="C16" s="233"/>
      <c r="D16" s="233"/>
      <c r="E16" s="72"/>
      <c r="F16" s="72"/>
      <c r="G16" s="72"/>
      <c r="H16" s="85" t="s">
        <v>114</v>
      </c>
      <c r="I16" s="86">
        <f>$I$10+$I$11+$H$69-$G$69+$I$12-$I$13</f>
        <v>0</v>
      </c>
      <c r="J16" s="72"/>
      <c r="K16" s="230"/>
      <c r="L16" s="230"/>
      <c r="M16" s="230"/>
      <c r="N16" s="230"/>
      <c r="O16" s="230"/>
      <c r="P16" s="183"/>
      <c r="Q16" s="183"/>
      <c r="R16" s="183"/>
      <c r="S16" s="81"/>
      <c r="T16" s="68"/>
      <c r="U16" s="68"/>
    </row>
    <row r="17" spans="1:25" s="67" customFormat="1" x14ac:dyDescent="0.2">
      <c r="A17" s="72"/>
      <c r="B17" s="209"/>
      <c r="C17" s="209"/>
      <c r="D17" s="209"/>
      <c r="E17" s="72"/>
      <c r="F17" s="72"/>
      <c r="G17" s="72"/>
      <c r="J17" s="72"/>
      <c r="K17" s="230"/>
      <c r="L17" s="230"/>
      <c r="M17" s="230"/>
      <c r="N17" s="230"/>
      <c r="O17" s="230"/>
      <c r="P17" s="183"/>
      <c r="Q17" s="183"/>
      <c r="R17" s="183"/>
      <c r="S17" s="228" t="s">
        <v>117</v>
      </c>
      <c r="T17" s="228"/>
      <c r="U17" s="228"/>
      <c r="V17" s="228"/>
      <c r="W17" s="228"/>
      <c r="X17" s="228"/>
      <c r="Y17" s="228"/>
    </row>
    <row r="18" spans="1:25" ht="21.75" customHeight="1" x14ac:dyDescent="0.2">
      <c r="A18" s="73"/>
      <c r="B18" s="73"/>
      <c r="C18" s="73"/>
      <c r="D18" s="73"/>
      <c r="E18" s="73"/>
      <c r="F18" s="73"/>
      <c r="G18" s="73"/>
      <c r="H18" s="73"/>
      <c r="I18" s="210"/>
      <c r="J18" s="133"/>
      <c r="K18" s="184"/>
      <c r="L18" s="133"/>
      <c r="M18" s="133"/>
      <c r="N18" s="133"/>
      <c r="O18" s="133"/>
      <c r="P18" s="184"/>
      <c r="Q18" s="184"/>
      <c r="R18" s="184"/>
      <c r="S18" s="227" t="s">
        <v>123</v>
      </c>
      <c r="T18" s="227"/>
      <c r="U18" s="227"/>
      <c r="W18" s="227" t="s">
        <v>124</v>
      </c>
      <c r="X18" s="227"/>
      <c r="Y18" s="227"/>
    </row>
    <row r="19" spans="1:25" ht="26.25" customHeight="1" x14ac:dyDescent="0.2">
      <c r="A19" s="101" t="s">
        <v>109</v>
      </c>
      <c r="B19" s="102" t="s">
        <v>7</v>
      </c>
      <c r="C19" s="102"/>
      <c r="D19" s="103" t="s">
        <v>153</v>
      </c>
      <c r="E19" s="102" t="s">
        <v>3</v>
      </c>
      <c r="F19" s="102" t="s">
        <v>85</v>
      </c>
      <c r="G19" s="102" t="s">
        <v>125</v>
      </c>
      <c r="H19" s="176" t="s">
        <v>126</v>
      </c>
      <c r="I19" s="104" t="s">
        <v>110</v>
      </c>
      <c r="J19" s="75"/>
      <c r="K19" s="179" t="s">
        <v>144</v>
      </c>
      <c r="L19" s="75"/>
      <c r="M19" s="231" t="s">
        <v>154</v>
      </c>
      <c r="N19" s="231"/>
      <c r="O19" s="231"/>
      <c r="P19" s="179"/>
      <c r="Q19" s="179" t="s">
        <v>155</v>
      </c>
      <c r="R19" s="179" t="s">
        <v>85</v>
      </c>
      <c r="S19" s="82" t="s">
        <v>127</v>
      </c>
      <c r="T19" s="82" t="s">
        <v>107</v>
      </c>
      <c r="U19" s="74" t="s">
        <v>126</v>
      </c>
      <c r="W19" s="82" t="s">
        <v>99</v>
      </c>
      <c r="X19" s="82" t="s">
        <v>107</v>
      </c>
      <c r="Y19" s="74" t="s">
        <v>125</v>
      </c>
    </row>
    <row r="20" spans="1:25" ht="23.1" customHeight="1" x14ac:dyDescent="0.2">
      <c r="A20" s="89">
        <v>1</v>
      </c>
      <c r="B20" s="90"/>
      <c r="C20" s="207" t="str">
        <f t="shared" ref="C20:C51" si="0">IF($Q20="","",IF($Q20=1,VLOOKUP($R20,SaKoBereichAufwand,4,FALSE),VLOOKUP($R20,SaKoBereichErtrag,4,FALSE)))</f>
        <v/>
      </c>
      <c r="D20" s="207"/>
      <c r="E20" s="91"/>
      <c r="F20" s="92" t="str">
        <f t="shared" ref="F20:F51" si="1">IF($Q20="","",IF($Q20=1,VLOOKUP($R20,SaKoBereichAufwand,2,FALSE),VLOOKUP($R20,SaKoBereichErtrag,2,FALSE)))</f>
        <v/>
      </c>
      <c r="G20" s="93"/>
      <c r="H20" s="177"/>
      <c r="I20" s="94" t="str">
        <f>IF(OR($G20&lt;&gt;"",$H20&lt;&gt;""),$I$15+$G20-$H20,"")</f>
        <v/>
      </c>
      <c r="J20" s="76"/>
      <c r="K20" s="185"/>
      <c r="L20" s="76"/>
      <c r="M20" s="76"/>
      <c r="N20" s="76"/>
      <c r="O20" s="76"/>
      <c r="P20" s="187"/>
      <c r="Q20" s="188"/>
      <c r="R20" s="189"/>
      <c r="S20" s="87" t="str">
        <f>IF(AND($H20&lt;&gt;"",$Q20=1),IF($E20&amp;$F20="","",VALUE($E20&amp;$F20)),"")</f>
        <v/>
      </c>
      <c r="T20" s="87" t="str">
        <f>IF(AND($H20&lt;&gt;"",$Q20=1),LEFT($E20,1),"")</f>
        <v/>
      </c>
      <c r="U20" s="88" t="str">
        <f>IF(AND($H20&lt;&gt;"",$Q20=1),$H20,"")</f>
        <v/>
      </c>
      <c r="W20" s="173" t="str">
        <f>IF(AND($G20&lt;&gt;"",$Q20=2),IF($E20&amp;$F20="","",VALUE($E20&amp;$F20)),"")</f>
        <v/>
      </c>
      <c r="X20" s="173" t="str">
        <f>IF(AND($G20&lt;&gt;"",$Q20=2),LEFT($E20,1),"")</f>
        <v/>
      </c>
      <c r="Y20" s="88" t="str">
        <f>IF(AND($G20&lt;&gt;"",$Q20=2),$G20,"")</f>
        <v/>
      </c>
    </row>
    <row r="21" spans="1:25" ht="23.1" customHeight="1" x14ac:dyDescent="0.2">
      <c r="A21" s="95">
        <v>2</v>
      </c>
      <c r="B21" s="96"/>
      <c r="C21" s="207" t="str">
        <f t="shared" si="0"/>
        <v/>
      </c>
      <c r="D21" s="207"/>
      <c r="E21" s="98"/>
      <c r="F21" s="92" t="str">
        <f t="shared" si="1"/>
        <v/>
      </c>
      <c r="G21" s="93"/>
      <c r="H21" s="177"/>
      <c r="I21" s="99" t="str">
        <f>IF(OR($G21&lt;&gt;"",$H21&lt;&gt;""),I20+G21-H21,"")</f>
        <v/>
      </c>
      <c r="J21" s="76"/>
      <c r="K21" s="185"/>
      <c r="L21" s="76"/>
      <c r="M21" s="76"/>
      <c r="N21" s="76"/>
      <c r="O21" s="76"/>
      <c r="P21" s="185"/>
      <c r="Q21" s="188"/>
      <c r="R21" s="188"/>
      <c r="S21" s="175" t="str">
        <f>IF(AND($H21&lt;&gt;"",$Q21=1),IF($E21&amp;$F21="","",VALUE($E21&amp;$F21)),"")</f>
        <v/>
      </c>
      <c r="T21" s="175" t="str">
        <f>IF(AND($H21&lt;&gt;"",$Q21=1),LEFT($E21,1),"")</f>
        <v/>
      </c>
      <c r="U21" s="88" t="str">
        <f>IF(AND($H21&lt;&gt;"",$Q21=1),$H21,"")</f>
        <v/>
      </c>
      <c r="W21" s="175" t="str">
        <f>IF(AND($G21&lt;&gt;"",$Q21=2),IF($E21&amp;$F21="","",VALUE($E21&amp;$F21)),"")</f>
        <v/>
      </c>
      <c r="X21" s="175" t="str">
        <f>IF(AND($G21&lt;&gt;"",$Q21=2),LEFT($E21,1),"")</f>
        <v/>
      </c>
      <c r="Y21" s="88" t="str">
        <f>IF(AND($G21&lt;&gt;"",$Q21=2),$G21,"")</f>
        <v/>
      </c>
    </row>
    <row r="22" spans="1:25" ht="23.1" customHeight="1" x14ac:dyDescent="0.2">
      <c r="A22" s="95">
        <v>3</v>
      </c>
      <c r="B22" s="96"/>
      <c r="C22" s="207" t="str">
        <f t="shared" si="0"/>
        <v/>
      </c>
      <c r="D22" s="207"/>
      <c r="E22" s="98"/>
      <c r="F22" s="92" t="str">
        <f t="shared" si="1"/>
        <v/>
      </c>
      <c r="G22" s="93"/>
      <c r="H22" s="177"/>
      <c r="I22" s="99" t="str">
        <f t="shared" ref="I22:I68" si="2">IF(OR($G22&lt;&gt;"",$H22&lt;&gt;""),I21+G22-H22,"")</f>
        <v/>
      </c>
      <c r="J22" s="76"/>
      <c r="K22" s="185"/>
      <c r="L22" s="76"/>
      <c r="M22" s="76"/>
      <c r="N22" s="76"/>
      <c r="O22" s="76"/>
      <c r="P22" s="185"/>
      <c r="Q22" s="188"/>
      <c r="R22" s="188"/>
      <c r="S22" s="175" t="str">
        <f t="shared" ref="S22:S68" si="3">IF(AND($H22&lt;&gt;"",$Q22=1),IF($E22&amp;$F22="","",VALUE($E22&amp;$F22)),"")</f>
        <v/>
      </c>
      <c r="T22" s="175" t="str">
        <f t="shared" ref="T22:T68" si="4">IF(AND($H22&lt;&gt;"",$Q22=1),LEFT($E22,1),"")</f>
        <v/>
      </c>
      <c r="U22" s="88" t="str">
        <f t="shared" ref="U22:U68" si="5">IF(AND($H22&lt;&gt;"",$Q22=1),$H22,"")</f>
        <v/>
      </c>
      <c r="W22" s="175" t="str">
        <f t="shared" ref="W22:W68" si="6">IF(AND($G22&lt;&gt;"",$Q22=2),IF($E22&amp;$F22="","",VALUE($E22&amp;$F22)),"")</f>
        <v/>
      </c>
      <c r="X22" s="175" t="str">
        <f t="shared" ref="X22:X68" si="7">IF(AND($G22&lt;&gt;"",$Q22=2),LEFT($E22,1),"")</f>
        <v/>
      </c>
      <c r="Y22" s="88" t="str">
        <f t="shared" ref="Y22:Y68" si="8">IF(AND($G22&lt;&gt;"",$Q22=2),$G22,"")</f>
        <v/>
      </c>
    </row>
    <row r="23" spans="1:25" ht="23.1" customHeight="1" x14ac:dyDescent="0.2">
      <c r="A23" s="95">
        <v>4</v>
      </c>
      <c r="B23" s="96"/>
      <c r="C23" s="207" t="str">
        <f t="shared" si="0"/>
        <v/>
      </c>
      <c r="D23" s="207"/>
      <c r="E23" s="98"/>
      <c r="F23" s="92" t="str">
        <f t="shared" si="1"/>
        <v/>
      </c>
      <c r="G23" s="93"/>
      <c r="H23" s="177"/>
      <c r="I23" s="99" t="str">
        <f t="shared" si="2"/>
        <v/>
      </c>
      <c r="J23" s="76"/>
      <c r="K23" s="185"/>
      <c r="L23" s="76"/>
      <c r="M23" s="76"/>
      <c r="N23" s="76"/>
      <c r="O23" s="76"/>
      <c r="P23" s="185"/>
      <c r="Q23" s="188"/>
      <c r="R23" s="188"/>
      <c r="S23" s="175" t="str">
        <f t="shared" si="3"/>
        <v/>
      </c>
      <c r="T23" s="175" t="str">
        <f t="shared" si="4"/>
        <v/>
      </c>
      <c r="U23" s="88" t="str">
        <f t="shared" si="5"/>
        <v/>
      </c>
      <c r="W23" s="175" t="str">
        <f t="shared" si="6"/>
        <v/>
      </c>
      <c r="X23" s="175" t="str">
        <f t="shared" si="7"/>
        <v/>
      </c>
      <c r="Y23" s="88" t="str">
        <f t="shared" si="8"/>
        <v/>
      </c>
    </row>
    <row r="24" spans="1:25" ht="23.1" customHeight="1" x14ac:dyDescent="0.2">
      <c r="A24" s="95">
        <v>5</v>
      </c>
      <c r="B24" s="96"/>
      <c r="C24" s="207" t="str">
        <f t="shared" si="0"/>
        <v/>
      </c>
      <c r="D24" s="207"/>
      <c r="E24" s="98"/>
      <c r="F24" s="92" t="str">
        <f t="shared" si="1"/>
        <v/>
      </c>
      <c r="G24" s="93"/>
      <c r="H24" s="177"/>
      <c r="I24" s="99" t="str">
        <f t="shared" si="2"/>
        <v/>
      </c>
      <c r="J24" s="76"/>
      <c r="K24" s="185"/>
      <c r="L24" s="76"/>
      <c r="M24" s="76"/>
      <c r="N24" s="76"/>
      <c r="O24" s="76"/>
      <c r="P24" s="185"/>
      <c r="Q24" s="188"/>
      <c r="R24" s="188"/>
      <c r="S24" s="175" t="str">
        <f t="shared" si="3"/>
        <v/>
      </c>
      <c r="T24" s="175" t="str">
        <f t="shared" si="4"/>
        <v/>
      </c>
      <c r="U24" s="88" t="str">
        <f t="shared" si="5"/>
        <v/>
      </c>
      <c r="W24" s="175" t="str">
        <f t="shared" si="6"/>
        <v/>
      </c>
      <c r="X24" s="175" t="str">
        <f t="shared" si="7"/>
        <v/>
      </c>
      <c r="Y24" s="88" t="str">
        <f t="shared" si="8"/>
        <v/>
      </c>
    </row>
    <row r="25" spans="1:25" ht="23.1" customHeight="1" x14ac:dyDescent="0.2">
      <c r="A25" s="95">
        <v>6</v>
      </c>
      <c r="B25" s="96"/>
      <c r="C25" s="207" t="str">
        <f t="shared" si="0"/>
        <v/>
      </c>
      <c r="D25" s="207"/>
      <c r="E25" s="98"/>
      <c r="F25" s="92" t="str">
        <f t="shared" si="1"/>
        <v/>
      </c>
      <c r="G25" s="93"/>
      <c r="H25" s="177"/>
      <c r="I25" s="99" t="str">
        <f t="shared" si="2"/>
        <v/>
      </c>
      <c r="J25" s="76"/>
      <c r="K25" s="185"/>
      <c r="L25" s="76"/>
      <c r="M25" s="76"/>
      <c r="N25" s="76"/>
      <c r="O25" s="76"/>
      <c r="P25" s="185"/>
      <c r="Q25" s="188"/>
      <c r="R25" s="188"/>
      <c r="S25" s="175" t="str">
        <f t="shared" si="3"/>
        <v/>
      </c>
      <c r="T25" s="175" t="str">
        <f t="shared" si="4"/>
        <v/>
      </c>
      <c r="U25" s="88" t="str">
        <f t="shared" si="5"/>
        <v/>
      </c>
      <c r="W25" s="175" t="str">
        <f t="shared" si="6"/>
        <v/>
      </c>
      <c r="X25" s="175" t="str">
        <f t="shared" si="7"/>
        <v/>
      </c>
      <c r="Y25" s="88" t="str">
        <f t="shared" si="8"/>
        <v/>
      </c>
    </row>
    <row r="26" spans="1:25" ht="23.1" customHeight="1" x14ac:dyDescent="0.2">
      <c r="A26" s="95">
        <v>7</v>
      </c>
      <c r="B26" s="96"/>
      <c r="C26" s="207" t="str">
        <f t="shared" si="0"/>
        <v/>
      </c>
      <c r="D26" s="207"/>
      <c r="E26" s="98"/>
      <c r="F26" s="92" t="str">
        <f t="shared" si="1"/>
        <v/>
      </c>
      <c r="G26" s="93"/>
      <c r="H26" s="177"/>
      <c r="I26" s="99" t="str">
        <f t="shared" si="2"/>
        <v/>
      </c>
      <c r="J26" s="76"/>
      <c r="K26" s="185"/>
      <c r="L26" s="76"/>
      <c r="M26" s="76"/>
      <c r="N26" s="76"/>
      <c r="O26" s="76"/>
      <c r="P26" s="185"/>
      <c r="Q26" s="188"/>
      <c r="R26" s="188"/>
      <c r="S26" s="175" t="str">
        <f t="shared" si="3"/>
        <v/>
      </c>
      <c r="T26" s="175" t="str">
        <f t="shared" si="4"/>
        <v/>
      </c>
      <c r="U26" s="88" t="str">
        <f t="shared" si="5"/>
        <v/>
      </c>
      <c r="W26" s="175" t="str">
        <f t="shared" si="6"/>
        <v/>
      </c>
      <c r="X26" s="175" t="str">
        <f t="shared" si="7"/>
        <v/>
      </c>
      <c r="Y26" s="88" t="str">
        <f t="shared" si="8"/>
        <v/>
      </c>
    </row>
    <row r="27" spans="1:25" ht="23.1" customHeight="1" x14ac:dyDescent="0.2">
      <c r="A27" s="95">
        <v>8</v>
      </c>
      <c r="B27" s="96"/>
      <c r="C27" s="207" t="str">
        <f t="shared" si="0"/>
        <v/>
      </c>
      <c r="D27" s="207"/>
      <c r="E27" s="98"/>
      <c r="F27" s="92" t="str">
        <f t="shared" si="1"/>
        <v/>
      </c>
      <c r="G27" s="93"/>
      <c r="H27" s="177"/>
      <c r="I27" s="99" t="str">
        <f t="shared" si="2"/>
        <v/>
      </c>
      <c r="J27" s="76"/>
      <c r="K27" s="185"/>
      <c r="L27" s="76"/>
      <c r="M27" s="76"/>
      <c r="N27" s="76"/>
      <c r="O27" s="76"/>
      <c r="P27" s="185"/>
      <c r="Q27" s="188"/>
      <c r="R27" s="188"/>
      <c r="S27" s="175" t="str">
        <f t="shared" si="3"/>
        <v/>
      </c>
      <c r="T27" s="175" t="str">
        <f t="shared" si="4"/>
        <v/>
      </c>
      <c r="U27" s="88" t="str">
        <f t="shared" si="5"/>
        <v/>
      </c>
      <c r="W27" s="175" t="str">
        <f t="shared" si="6"/>
        <v/>
      </c>
      <c r="X27" s="175" t="str">
        <f t="shared" si="7"/>
        <v/>
      </c>
      <c r="Y27" s="88" t="str">
        <f t="shared" si="8"/>
        <v/>
      </c>
    </row>
    <row r="28" spans="1:25" ht="23.1" customHeight="1" x14ac:dyDescent="0.2">
      <c r="A28" s="95">
        <v>9</v>
      </c>
      <c r="B28" s="96"/>
      <c r="C28" s="207" t="str">
        <f t="shared" si="0"/>
        <v/>
      </c>
      <c r="D28" s="207"/>
      <c r="E28" s="98"/>
      <c r="F28" s="92" t="str">
        <f t="shared" si="1"/>
        <v/>
      </c>
      <c r="G28" s="93"/>
      <c r="H28" s="177"/>
      <c r="I28" s="99" t="str">
        <f t="shared" si="2"/>
        <v/>
      </c>
      <c r="J28" s="76"/>
      <c r="K28" s="185"/>
      <c r="L28" s="76"/>
      <c r="M28" s="76"/>
      <c r="N28" s="76"/>
      <c r="O28" s="76"/>
      <c r="P28" s="185"/>
      <c r="Q28" s="188"/>
      <c r="R28" s="188"/>
      <c r="S28" s="175" t="str">
        <f t="shared" si="3"/>
        <v/>
      </c>
      <c r="T28" s="175" t="str">
        <f t="shared" si="4"/>
        <v/>
      </c>
      <c r="U28" s="88" t="str">
        <f t="shared" si="5"/>
        <v/>
      </c>
      <c r="W28" s="175" t="str">
        <f t="shared" si="6"/>
        <v/>
      </c>
      <c r="X28" s="175" t="str">
        <f t="shared" si="7"/>
        <v/>
      </c>
      <c r="Y28" s="88" t="str">
        <f t="shared" si="8"/>
        <v/>
      </c>
    </row>
    <row r="29" spans="1:25" ht="23.1" customHeight="1" x14ac:dyDescent="0.2">
      <c r="A29" s="95">
        <v>10</v>
      </c>
      <c r="B29" s="96"/>
      <c r="C29" s="207" t="str">
        <f t="shared" si="0"/>
        <v/>
      </c>
      <c r="D29" s="207"/>
      <c r="E29" s="98"/>
      <c r="F29" s="92" t="str">
        <f t="shared" si="1"/>
        <v/>
      </c>
      <c r="G29" s="93"/>
      <c r="H29" s="177"/>
      <c r="I29" s="99" t="str">
        <f t="shared" si="2"/>
        <v/>
      </c>
      <c r="J29" s="76"/>
      <c r="K29" s="185"/>
      <c r="L29" s="76"/>
      <c r="M29" s="76"/>
      <c r="N29" s="76"/>
      <c r="O29" s="76"/>
      <c r="P29" s="185"/>
      <c r="Q29" s="188"/>
      <c r="R29" s="188"/>
      <c r="S29" s="175" t="str">
        <f t="shared" si="3"/>
        <v/>
      </c>
      <c r="T29" s="175" t="str">
        <f t="shared" si="4"/>
        <v/>
      </c>
      <c r="U29" s="88" t="str">
        <f t="shared" si="5"/>
        <v/>
      </c>
      <c r="W29" s="175" t="str">
        <f t="shared" si="6"/>
        <v/>
      </c>
      <c r="X29" s="175" t="str">
        <f t="shared" si="7"/>
        <v/>
      </c>
      <c r="Y29" s="88" t="str">
        <f t="shared" si="8"/>
        <v/>
      </c>
    </row>
    <row r="30" spans="1:25" ht="23.1" customHeight="1" x14ac:dyDescent="0.2">
      <c r="A30" s="95">
        <v>11</v>
      </c>
      <c r="B30" s="96"/>
      <c r="C30" s="207" t="str">
        <f t="shared" si="0"/>
        <v/>
      </c>
      <c r="D30" s="207"/>
      <c r="E30" s="98"/>
      <c r="F30" s="92" t="str">
        <f t="shared" si="1"/>
        <v/>
      </c>
      <c r="G30" s="93"/>
      <c r="H30" s="177"/>
      <c r="I30" s="99" t="str">
        <f t="shared" si="2"/>
        <v/>
      </c>
      <c r="J30" s="76"/>
      <c r="K30" s="185"/>
      <c r="L30" s="76"/>
      <c r="M30" s="76"/>
      <c r="N30" s="76"/>
      <c r="O30" s="76"/>
      <c r="P30" s="185"/>
      <c r="Q30" s="188"/>
      <c r="R30" s="188"/>
      <c r="S30" s="175" t="str">
        <f t="shared" si="3"/>
        <v/>
      </c>
      <c r="T30" s="175" t="str">
        <f t="shared" si="4"/>
        <v/>
      </c>
      <c r="U30" s="88" t="str">
        <f t="shared" si="5"/>
        <v/>
      </c>
      <c r="W30" s="175" t="str">
        <f t="shared" si="6"/>
        <v/>
      </c>
      <c r="X30" s="175" t="str">
        <f t="shared" si="7"/>
        <v/>
      </c>
      <c r="Y30" s="88" t="str">
        <f t="shared" si="8"/>
        <v/>
      </c>
    </row>
    <row r="31" spans="1:25" ht="23.1" customHeight="1" x14ac:dyDescent="0.2">
      <c r="A31" s="95">
        <v>12</v>
      </c>
      <c r="B31" s="96"/>
      <c r="C31" s="207" t="str">
        <f t="shared" si="0"/>
        <v/>
      </c>
      <c r="D31" s="207"/>
      <c r="E31" s="98"/>
      <c r="F31" s="92" t="str">
        <f t="shared" si="1"/>
        <v/>
      </c>
      <c r="G31" s="93"/>
      <c r="H31" s="177"/>
      <c r="I31" s="99" t="str">
        <f t="shared" si="2"/>
        <v/>
      </c>
      <c r="J31" s="76"/>
      <c r="K31" s="185"/>
      <c r="L31" s="76"/>
      <c r="M31" s="76"/>
      <c r="N31" s="76"/>
      <c r="O31" s="76"/>
      <c r="P31" s="185"/>
      <c r="Q31" s="188"/>
      <c r="R31" s="188"/>
      <c r="S31" s="175" t="str">
        <f t="shared" si="3"/>
        <v/>
      </c>
      <c r="T31" s="175" t="str">
        <f t="shared" si="4"/>
        <v/>
      </c>
      <c r="U31" s="88" t="str">
        <f t="shared" si="5"/>
        <v/>
      </c>
      <c r="W31" s="175" t="str">
        <f t="shared" si="6"/>
        <v/>
      </c>
      <c r="X31" s="175" t="str">
        <f t="shared" si="7"/>
        <v/>
      </c>
      <c r="Y31" s="88" t="str">
        <f t="shared" si="8"/>
        <v/>
      </c>
    </row>
    <row r="32" spans="1:25" ht="23.1" customHeight="1" x14ac:dyDescent="0.2">
      <c r="A32" s="95">
        <v>13</v>
      </c>
      <c r="B32" s="96"/>
      <c r="C32" s="207" t="str">
        <f t="shared" si="0"/>
        <v/>
      </c>
      <c r="D32" s="97"/>
      <c r="E32" s="98"/>
      <c r="F32" s="92" t="str">
        <f t="shared" si="1"/>
        <v/>
      </c>
      <c r="G32" s="93"/>
      <c r="H32" s="177"/>
      <c r="I32" s="99" t="str">
        <f t="shared" si="2"/>
        <v/>
      </c>
      <c r="J32" s="76"/>
      <c r="K32" s="185"/>
      <c r="L32" s="76"/>
      <c r="M32" s="76"/>
      <c r="N32" s="76"/>
      <c r="O32" s="76"/>
      <c r="P32" s="185"/>
      <c r="Q32" s="192"/>
      <c r="R32" s="188"/>
      <c r="S32" s="175" t="str">
        <f t="shared" si="3"/>
        <v/>
      </c>
      <c r="T32" s="175" t="str">
        <f t="shared" si="4"/>
        <v/>
      </c>
      <c r="U32" s="88" t="str">
        <f t="shared" si="5"/>
        <v/>
      </c>
      <c r="W32" s="175" t="str">
        <f t="shared" si="6"/>
        <v/>
      </c>
      <c r="X32" s="175" t="str">
        <f t="shared" si="7"/>
        <v/>
      </c>
      <c r="Y32" s="88" t="str">
        <f t="shared" si="8"/>
        <v/>
      </c>
    </row>
    <row r="33" spans="1:25" ht="23.1" customHeight="1" x14ac:dyDescent="0.2">
      <c r="A33" s="95">
        <v>14</v>
      </c>
      <c r="B33" s="96"/>
      <c r="C33" s="207" t="str">
        <f t="shared" si="0"/>
        <v/>
      </c>
      <c r="D33" s="97"/>
      <c r="E33" s="98"/>
      <c r="F33" s="92" t="str">
        <f t="shared" si="1"/>
        <v/>
      </c>
      <c r="G33" s="93"/>
      <c r="H33" s="177"/>
      <c r="I33" s="99" t="str">
        <f t="shared" si="2"/>
        <v/>
      </c>
      <c r="J33" s="76"/>
      <c r="K33" s="185"/>
      <c r="L33" s="76"/>
      <c r="M33" s="76"/>
      <c r="N33" s="76"/>
      <c r="O33" s="76"/>
      <c r="P33" s="185"/>
      <c r="Q33" s="192"/>
      <c r="R33" s="188"/>
      <c r="S33" s="175" t="str">
        <f t="shared" si="3"/>
        <v/>
      </c>
      <c r="T33" s="175" t="str">
        <f t="shared" si="4"/>
        <v/>
      </c>
      <c r="U33" s="88" t="str">
        <f t="shared" si="5"/>
        <v/>
      </c>
      <c r="W33" s="175" t="str">
        <f t="shared" si="6"/>
        <v/>
      </c>
      <c r="X33" s="175" t="str">
        <f t="shared" si="7"/>
        <v/>
      </c>
      <c r="Y33" s="88" t="str">
        <f t="shared" si="8"/>
        <v/>
      </c>
    </row>
    <row r="34" spans="1:25" ht="23.1" customHeight="1" x14ac:dyDescent="0.2">
      <c r="A34" s="95">
        <v>15</v>
      </c>
      <c r="B34" s="96"/>
      <c r="C34" s="207" t="str">
        <f t="shared" si="0"/>
        <v/>
      </c>
      <c r="D34" s="100"/>
      <c r="E34" s="98"/>
      <c r="F34" s="92" t="str">
        <f t="shared" si="1"/>
        <v/>
      </c>
      <c r="G34" s="93"/>
      <c r="H34" s="177"/>
      <c r="I34" s="99" t="str">
        <f t="shared" si="2"/>
        <v/>
      </c>
      <c r="J34" s="76"/>
      <c r="K34" s="185"/>
      <c r="L34" s="76"/>
      <c r="M34" s="76"/>
      <c r="N34" s="76"/>
      <c r="O34" s="76"/>
      <c r="P34" s="185"/>
      <c r="Q34" s="192"/>
      <c r="R34" s="188"/>
      <c r="S34" s="175" t="str">
        <f t="shared" si="3"/>
        <v/>
      </c>
      <c r="T34" s="175" t="str">
        <f t="shared" si="4"/>
        <v/>
      </c>
      <c r="U34" s="88" t="str">
        <f t="shared" si="5"/>
        <v/>
      </c>
      <c r="W34" s="175" t="str">
        <f t="shared" si="6"/>
        <v/>
      </c>
      <c r="X34" s="175" t="str">
        <f t="shared" si="7"/>
        <v/>
      </c>
      <c r="Y34" s="88" t="str">
        <f t="shared" si="8"/>
        <v/>
      </c>
    </row>
    <row r="35" spans="1:25" ht="23.1" customHeight="1" x14ac:dyDescent="0.2">
      <c r="A35" s="95">
        <v>16</v>
      </c>
      <c r="B35" s="96"/>
      <c r="C35" s="207" t="str">
        <f t="shared" si="0"/>
        <v/>
      </c>
      <c r="D35" s="100"/>
      <c r="E35" s="98"/>
      <c r="F35" s="92" t="str">
        <f t="shared" si="1"/>
        <v/>
      </c>
      <c r="G35" s="93"/>
      <c r="H35" s="177"/>
      <c r="I35" s="99" t="str">
        <f t="shared" si="2"/>
        <v/>
      </c>
      <c r="J35" s="76"/>
      <c r="K35" s="185"/>
      <c r="L35" s="76"/>
      <c r="M35" s="76"/>
      <c r="N35" s="76"/>
      <c r="O35" s="76"/>
      <c r="P35" s="185"/>
      <c r="Q35" s="192"/>
      <c r="R35" s="188"/>
      <c r="S35" s="175" t="str">
        <f t="shared" si="3"/>
        <v/>
      </c>
      <c r="T35" s="175" t="str">
        <f t="shared" si="4"/>
        <v/>
      </c>
      <c r="U35" s="88" t="str">
        <f t="shared" si="5"/>
        <v/>
      </c>
      <c r="W35" s="175" t="str">
        <f t="shared" si="6"/>
        <v/>
      </c>
      <c r="X35" s="175" t="str">
        <f t="shared" si="7"/>
        <v/>
      </c>
      <c r="Y35" s="88" t="str">
        <f t="shared" si="8"/>
        <v/>
      </c>
    </row>
    <row r="36" spans="1:25" ht="23.1" customHeight="1" x14ac:dyDescent="0.2">
      <c r="A36" s="95">
        <v>17</v>
      </c>
      <c r="B36" s="96"/>
      <c r="C36" s="207" t="str">
        <f t="shared" si="0"/>
        <v/>
      </c>
      <c r="D36" s="100"/>
      <c r="E36" s="98"/>
      <c r="F36" s="92" t="str">
        <f t="shared" si="1"/>
        <v/>
      </c>
      <c r="G36" s="93"/>
      <c r="H36" s="177"/>
      <c r="I36" s="99" t="str">
        <f t="shared" si="2"/>
        <v/>
      </c>
      <c r="J36" s="76"/>
      <c r="K36" s="185"/>
      <c r="L36" s="76"/>
      <c r="M36" s="76"/>
      <c r="N36" s="76"/>
      <c r="O36" s="76"/>
      <c r="P36" s="185"/>
      <c r="Q36" s="192"/>
      <c r="R36" s="188"/>
      <c r="S36" s="175" t="str">
        <f t="shared" si="3"/>
        <v/>
      </c>
      <c r="T36" s="175" t="str">
        <f t="shared" si="4"/>
        <v/>
      </c>
      <c r="U36" s="88" t="str">
        <f t="shared" si="5"/>
        <v/>
      </c>
      <c r="W36" s="175" t="str">
        <f t="shared" si="6"/>
        <v/>
      </c>
      <c r="X36" s="175" t="str">
        <f t="shared" si="7"/>
        <v/>
      </c>
      <c r="Y36" s="88" t="str">
        <f t="shared" si="8"/>
        <v/>
      </c>
    </row>
    <row r="37" spans="1:25" ht="23.1" customHeight="1" x14ac:dyDescent="0.2">
      <c r="A37" s="95">
        <v>18</v>
      </c>
      <c r="B37" s="96"/>
      <c r="C37" s="207" t="str">
        <f t="shared" si="0"/>
        <v/>
      </c>
      <c r="D37" s="100"/>
      <c r="E37" s="98"/>
      <c r="F37" s="92" t="str">
        <f t="shared" si="1"/>
        <v/>
      </c>
      <c r="G37" s="93"/>
      <c r="H37" s="177"/>
      <c r="I37" s="99" t="str">
        <f t="shared" si="2"/>
        <v/>
      </c>
      <c r="J37" s="76"/>
      <c r="K37" s="185"/>
      <c r="L37" s="76"/>
      <c r="M37" s="76"/>
      <c r="N37" s="76"/>
      <c r="O37" s="76"/>
      <c r="P37" s="185"/>
      <c r="Q37" s="192"/>
      <c r="R37" s="188"/>
      <c r="S37" s="175" t="str">
        <f t="shared" si="3"/>
        <v/>
      </c>
      <c r="T37" s="175" t="str">
        <f t="shared" si="4"/>
        <v/>
      </c>
      <c r="U37" s="88" t="str">
        <f t="shared" si="5"/>
        <v/>
      </c>
      <c r="W37" s="175" t="str">
        <f t="shared" si="6"/>
        <v/>
      </c>
      <c r="X37" s="175" t="str">
        <f t="shared" si="7"/>
        <v/>
      </c>
      <c r="Y37" s="88" t="str">
        <f t="shared" si="8"/>
        <v/>
      </c>
    </row>
    <row r="38" spans="1:25" ht="23.1" customHeight="1" x14ac:dyDescent="0.2">
      <c r="A38" s="95">
        <v>19</v>
      </c>
      <c r="B38" s="96"/>
      <c r="C38" s="207" t="str">
        <f t="shared" si="0"/>
        <v/>
      </c>
      <c r="D38" s="100"/>
      <c r="E38" s="98"/>
      <c r="F38" s="92" t="str">
        <f t="shared" si="1"/>
        <v/>
      </c>
      <c r="G38" s="93"/>
      <c r="H38" s="177"/>
      <c r="I38" s="99" t="str">
        <f t="shared" si="2"/>
        <v/>
      </c>
      <c r="J38" s="76"/>
      <c r="K38" s="185"/>
      <c r="L38" s="76"/>
      <c r="M38" s="76"/>
      <c r="N38" s="76"/>
      <c r="O38" s="76"/>
      <c r="P38" s="185"/>
      <c r="Q38" s="192"/>
      <c r="R38" s="188"/>
      <c r="S38" s="175" t="str">
        <f t="shared" si="3"/>
        <v/>
      </c>
      <c r="T38" s="175" t="str">
        <f t="shared" si="4"/>
        <v/>
      </c>
      <c r="U38" s="88" t="str">
        <f t="shared" si="5"/>
        <v/>
      </c>
      <c r="W38" s="175" t="str">
        <f t="shared" si="6"/>
        <v/>
      </c>
      <c r="X38" s="175" t="str">
        <f t="shared" si="7"/>
        <v/>
      </c>
      <c r="Y38" s="88" t="str">
        <f t="shared" si="8"/>
        <v/>
      </c>
    </row>
    <row r="39" spans="1:25" ht="23.1" customHeight="1" x14ac:dyDescent="0.2">
      <c r="A39" s="95">
        <v>20</v>
      </c>
      <c r="B39" s="96"/>
      <c r="C39" s="207" t="str">
        <f t="shared" si="0"/>
        <v/>
      </c>
      <c r="D39" s="100"/>
      <c r="E39" s="98"/>
      <c r="F39" s="92" t="str">
        <f t="shared" si="1"/>
        <v/>
      </c>
      <c r="G39" s="93"/>
      <c r="H39" s="177"/>
      <c r="I39" s="99" t="str">
        <f t="shared" si="2"/>
        <v/>
      </c>
      <c r="J39" s="76"/>
      <c r="K39" s="185"/>
      <c r="L39" s="76"/>
      <c r="M39" s="76"/>
      <c r="N39" s="76"/>
      <c r="O39" s="76"/>
      <c r="P39" s="185"/>
      <c r="Q39" s="192"/>
      <c r="R39" s="188"/>
      <c r="S39" s="175" t="str">
        <f t="shared" si="3"/>
        <v/>
      </c>
      <c r="T39" s="175" t="str">
        <f t="shared" si="4"/>
        <v/>
      </c>
      <c r="U39" s="88" t="str">
        <f t="shared" si="5"/>
        <v/>
      </c>
      <c r="W39" s="175" t="str">
        <f t="shared" si="6"/>
        <v/>
      </c>
      <c r="X39" s="175" t="str">
        <f t="shared" si="7"/>
        <v/>
      </c>
      <c r="Y39" s="88" t="str">
        <f t="shared" si="8"/>
        <v/>
      </c>
    </row>
    <row r="40" spans="1:25" ht="23.1" customHeight="1" x14ac:dyDescent="0.2">
      <c r="A40" s="95">
        <v>21</v>
      </c>
      <c r="B40" s="96"/>
      <c r="C40" s="207" t="str">
        <f t="shared" si="0"/>
        <v/>
      </c>
      <c r="D40" s="100"/>
      <c r="E40" s="98"/>
      <c r="F40" s="92" t="str">
        <f t="shared" si="1"/>
        <v/>
      </c>
      <c r="G40" s="93"/>
      <c r="H40" s="177"/>
      <c r="I40" s="99" t="str">
        <f t="shared" si="2"/>
        <v/>
      </c>
      <c r="J40" s="76"/>
      <c r="K40" s="185"/>
      <c r="L40" s="76"/>
      <c r="M40" s="76"/>
      <c r="N40" s="76"/>
      <c r="O40" s="76"/>
      <c r="P40" s="185"/>
      <c r="Q40" s="192"/>
      <c r="R40" s="188"/>
      <c r="S40" s="175" t="str">
        <f t="shared" si="3"/>
        <v/>
      </c>
      <c r="T40" s="175" t="str">
        <f t="shared" si="4"/>
        <v/>
      </c>
      <c r="U40" s="88" t="str">
        <f t="shared" si="5"/>
        <v/>
      </c>
      <c r="W40" s="175" t="str">
        <f t="shared" si="6"/>
        <v/>
      </c>
      <c r="X40" s="175" t="str">
        <f t="shared" si="7"/>
        <v/>
      </c>
      <c r="Y40" s="88" t="str">
        <f t="shared" si="8"/>
        <v/>
      </c>
    </row>
    <row r="41" spans="1:25" ht="23.1" customHeight="1" x14ac:dyDescent="0.2">
      <c r="A41" s="95">
        <v>22</v>
      </c>
      <c r="B41" s="96"/>
      <c r="C41" s="207" t="str">
        <f t="shared" si="0"/>
        <v/>
      </c>
      <c r="D41" s="100"/>
      <c r="E41" s="98"/>
      <c r="F41" s="92" t="str">
        <f t="shared" si="1"/>
        <v/>
      </c>
      <c r="G41" s="93"/>
      <c r="H41" s="177"/>
      <c r="I41" s="99" t="str">
        <f t="shared" si="2"/>
        <v/>
      </c>
      <c r="J41" s="76"/>
      <c r="K41" s="185"/>
      <c r="L41" s="76"/>
      <c r="M41" s="76"/>
      <c r="N41" s="76"/>
      <c r="O41" s="76"/>
      <c r="P41" s="185"/>
      <c r="Q41" s="192"/>
      <c r="R41" s="188"/>
      <c r="S41" s="175" t="str">
        <f t="shared" si="3"/>
        <v/>
      </c>
      <c r="T41" s="175" t="str">
        <f t="shared" si="4"/>
        <v/>
      </c>
      <c r="U41" s="88" t="str">
        <f t="shared" si="5"/>
        <v/>
      </c>
      <c r="W41" s="175" t="str">
        <f t="shared" si="6"/>
        <v/>
      </c>
      <c r="X41" s="175" t="str">
        <f t="shared" si="7"/>
        <v/>
      </c>
      <c r="Y41" s="88" t="str">
        <f t="shared" si="8"/>
        <v/>
      </c>
    </row>
    <row r="42" spans="1:25" ht="23.1" customHeight="1" x14ac:dyDescent="0.2">
      <c r="A42" s="95">
        <v>23</v>
      </c>
      <c r="B42" s="96"/>
      <c r="C42" s="207" t="str">
        <f t="shared" si="0"/>
        <v/>
      </c>
      <c r="D42" s="100"/>
      <c r="E42" s="98"/>
      <c r="F42" s="92" t="str">
        <f t="shared" si="1"/>
        <v/>
      </c>
      <c r="G42" s="93"/>
      <c r="H42" s="177"/>
      <c r="I42" s="99" t="str">
        <f t="shared" si="2"/>
        <v/>
      </c>
      <c r="J42" s="76"/>
      <c r="K42" s="185"/>
      <c r="L42" s="76"/>
      <c r="M42" s="76"/>
      <c r="N42" s="76"/>
      <c r="O42" s="76"/>
      <c r="P42" s="185"/>
      <c r="Q42" s="192"/>
      <c r="R42" s="188"/>
      <c r="S42" s="175" t="str">
        <f t="shared" si="3"/>
        <v/>
      </c>
      <c r="T42" s="175" t="str">
        <f t="shared" si="4"/>
        <v/>
      </c>
      <c r="U42" s="88" t="str">
        <f t="shared" si="5"/>
        <v/>
      </c>
      <c r="W42" s="175" t="str">
        <f t="shared" si="6"/>
        <v/>
      </c>
      <c r="X42" s="175" t="str">
        <f t="shared" si="7"/>
        <v/>
      </c>
      <c r="Y42" s="88" t="str">
        <f t="shared" si="8"/>
        <v/>
      </c>
    </row>
    <row r="43" spans="1:25" ht="23.1" customHeight="1" x14ac:dyDescent="0.2">
      <c r="A43" s="95">
        <v>24</v>
      </c>
      <c r="B43" s="96"/>
      <c r="C43" s="207" t="str">
        <f t="shared" si="0"/>
        <v/>
      </c>
      <c r="D43" s="100"/>
      <c r="E43" s="98"/>
      <c r="F43" s="92" t="str">
        <f t="shared" si="1"/>
        <v/>
      </c>
      <c r="G43" s="93"/>
      <c r="H43" s="177"/>
      <c r="I43" s="99" t="str">
        <f t="shared" si="2"/>
        <v/>
      </c>
      <c r="J43" s="76"/>
      <c r="K43" s="185"/>
      <c r="L43" s="76"/>
      <c r="M43" s="76"/>
      <c r="N43" s="76"/>
      <c r="O43" s="76"/>
      <c r="P43" s="185"/>
      <c r="Q43" s="192"/>
      <c r="R43" s="188"/>
      <c r="S43" s="175" t="str">
        <f t="shared" si="3"/>
        <v/>
      </c>
      <c r="T43" s="175" t="str">
        <f t="shared" si="4"/>
        <v/>
      </c>
      <c r="U43" s="88" t="str">
        <f t="shared" si="5"/>
        <v/>
      </c>
      <c r="W43" s="175" t="str">
        <f t="shared" si="6"/>
        <v/>
      </c>
      <c r="X43" s="175" t="str">
        <f t="shared" si="7"/>
        <v/>
      </c>
      <c r="Y43" s="88" t="str">
        <f t="shared" si="8"/>
        <v/>
      </c>
    </row>
    <row r="44" spans="1:25" ht="23.1" customHeight="1" x14ac:dyDescent="0.2">
      <c r="A44" s="95">
        <v>25</v>
      </c>
      <c r="B44" s="96"/>
      <c r="C44" s="207" t="str">
        <f t="shared" si="0"/>
        <v/>
      </c>
      <c r="D44" s="100"/>
      <c r="E44" s="98"/>
      <c r="F44" s="92" t="str">
        <f t="shared" si="1"/>
        <v/>
      </c>
      <c r="G44" s="93"/>
      <c r="H44" s="177"/>
      <c r="I44" s="99" t="str">
        <f t="shared" si="2"/>
        <v/>
      </c>
      <c r="J44" s="76"/>
      <c r="K44" s="185"/>
      <c r="L44" s="76"/>
      <c r="M44" s="76"/>
      <c r="N44" s="76"/>
      <c r="O44" s="76"/>
      <c r="P44" s="185"/>
      <c r="Q44" s="192"/>
      <c r="R44" s="188"/>
      <c r="S44" s="175" t="str">
        <f t="shared" si="3"/>
        <v/>
      </c>
      <c r="T44" s="175" t="str">
        <f t="shared" si="4"/>
        <v/>
      </c>
      <c r="U44" s="88" t="str">
        <f t="shared" si="5"/>
        <v/>
      </c>
      <c r="W44" s="175" t="str">
        <f t="shared" si="6"/>
        <v/>
      </c>
      <c r="X44" s="175" t="str">
        <f t="shared" si="7"/>
        <v/>
      </c>
      <c r="Y44" s="88" t="str">
        <f t="shared" si="8"/>
        <v/>
      </c>
    </row>
    <row r="45" spans="1:25" ht="23.1" customHeight="1" x14ac:dyDescent="0.2">
      <c r="A45" s="95">
        <v>26</v>
      </c>
      <c r="B45" s="96"/>
      <c r="C45" s="207" t="str">
        <f t="shared" si="0"/>
        <v/>
      </c>
      <c r="D45" s="100"/>
      <c r="E45" s="98"/>
      <c r="F45" s="92" t="str">
        <f t="shared" si="1"/>
        <v/>
      </c>
      <c r="G45" s="93"/>
      <c r="H45" s="177"/>
      <c r="I45" s="99" t="str">
        <f t="shared" si="2"/>
        <v/>
      </c>
      <c r="J45" s="76"/>
      <c r="K45" s="185"/>
      <c r="L45" s="76"/>
      <c r="M45" s="76"/>
      <c r="N45" s="76"/>
      <c r="O45" s="76"/>
      <c r="P45" s="185"/>
      <c r="Q45" s="192"/>
      <c r="R45" s="188"/>
      <c r="S45" s="175" t="str">
        <f t="shared" si="3"/>
        <v/>
      </c>
      <c r="T45" s="175" t="str">
        <f t="shared" si="4"/>
        <v/>
      </c>
      <c r="U45" s="88" t="str">
        <f t="shared" si="5"/>
        <v/>
      </c>
      <c r="W45" s="175" t="str">
        <f t="shared" si="6"/>
        <v/>
      </c>
      <c r="X45" s="175" t="str">
        <f t="shared" si="7"/>
        <v/>
      </c>
      <c r="Y45" s="88" t="str">
        <f t="shared" si="8"/>
        <v/>
      </c>
    </row>
    <row r="46" spans="1:25" ht="23.1" customHeight="1" x14ac:dyDescent="0.2">
      <c r="A46" s="95">
        <v>27</v>
      </c>
      <c r="B46" s="96"/>
      <c r="C46" s="207" t="str">
        <f t="shared" si="0"/>
        <v/>
      </c>
      <c r="D46" s="100"/>
      <c r="E46" s="98"/>
      <c r="F46" s="92" t="str">
        <f t="shared" si="1"/>
        <v/>
      </c>
      <c r="G46" s="93"/>
      <c r="H46" s="177"/>
      <c r="I46" s="99" t="str">
        <f t="shared" si="2"/>
        <v/>
      </c>
      <c r="J46" s="76"/>
      <c r="K46" s="185"/>
      <c r="L46" s="76"/>
      <c r="M46" s="76"/>
      <c r="N46" s="76"/>
      <c r="O46" s="76"/>
      <c r="P46" s="185"/>
      <c r="Q46" s="192"/>
      <c r="R46" s="188"/>
      <c r="S46" s="175" t="str">
        <f t="shared" si="3"/>
        <v/>
      </c>
      <c r="T46" s="175" t="str">
        <f t="shared" si="4"/>
        <v/>
      </c>
      <c r="U46" s="88" t="str">
        <f t="shared" si="5"/>
        <v/>
      </c>
      <c r="W46" s="175" t="str">
        <f t="shared" si="6"/>
        <v/>
      </c>
      <c r="X46" s="175" t="str">
        <f t="shared" si="7"/>
        <v/>
      </c>
      <c r="Y46" s="88" t="str">
        <f t="shared" si="8"/>
        <v/>
      </c>
    </row>
    <row r="47" spans="1:25" ht="23.1" customHeight="1" x14ac:dyDescent="0.2">
      <c r="A47" s="95">
        <v>28</v>
      </c>
      <c r="B47" s="96"/>
      <c r="C47" s="207" t="str">
        <f t="shared" si="0"/>
        <v/>
      </c>
      <c r="D47" s="100"/>
      <c r="E47" s="98"/>
      <c r="F47" s="92" t="str">
        <f t="shared" si="1"/>
        <v/>
      </c>
      <c r="G47" s="93"/>
      <c r="H47" s="177"/>
      <c r="I47" s="99" t="str">
        <f t="shared" si="2"/>
        <v/>
      </c>
      <c r="J47" s="76"/>
      <c r="K47" s="185"/>
      <c r="L47" s="76"/>
      <c r="M47" s="76"/>
      <c r="N47" s="76"/>
      <c r="O47" s="76"/>
      <c r="P47" s="185"/>
      <c r="Q47" s="192"/>
      <c r="R47" s="188"/>
      <c r="S47" s="175" t="str">
        <f t="shared" si="3"/>
        <v/>
      </c>
      <c r="T47" s="175" t="str">
        <f t="shared" si="4"/>
        <v/>
      </c>
      <c r="U47" s="88" t="str">
        <f t="shared" si="5"/>
        <v/>
      </c>
      <c r="W47" s="175" t="str">
        <f t="shared" si="6"/>
        <v/>
      </c>
      <c r="X47" s="175" t="str">
        <f t="shared" si="7"/>
        <v/>
      </c>
      <c r="Y47" s="88" t="str">
        <f t="shared" si="8"/>
        <v/>
      </c>
    </row>
    <row r="48" spans="1:25" ht="23.1" customHeight="1" x14ac:dyDescent="0.2">
      <c r="A48" s="95">
        <v>29</v>
      </c>
      <c r="B48" s="96"/>
      <c r="C48" s="207" t="str">
        <f t="shared" si="0"/>
        <v/>
      </c>
      <c r="D48" s="100"/>
      <c r="E48" s="98"/>
      <c r="F48" s="92" t="str">
        <f t="shared" si="1"/>
        <v/>
      </c>
      <c r="G48" s="93"/>
      <c r="H48" s="177"/>
      <c r="I48" s="99" t="str">
        <f t="shared" si="2"/>
        <v/>
      </c>
      <c r="J48" s="76"/>
      <c r="K48" s="185"/>
      <c r="L48" s="76"/>
      <c r="M48" s="76"/>
      <c r="N48" s="76"/>
      <c r="O48" s="76"/>
      <c r="P48" s="185"/>
      <c r="Q48" s="192"/>
      <c r="R48" s="188"/>
      <c r="S48" s="175" t="str">
        <f t="shared" si="3"/>
        <v/>
      </c>
      <c r="T48" s="175" t="str">
        <f t="shared" si="4"/>
        <v/>
      </c>
      <c r="U48" s="88" t="str">
        <f t="shared" si="5"/>
        <v/>
      </c>
      <c r="W48" s="175" t="str">
        <f t="shared" si="6"/>
        <v/>
      </c>
      <c r="X48" s="175" t="str">
        <f t="shared" si="7"/>
        <v/>
      </c>
      <c r="Y48" s="88" t="str">
        <f t="shared" si="8"/>
        <v/>
      </c>
    </row>
    <row r="49" spans="1:25" ht="23.1" customHeight="1" x14ac:dyDescent="0.2">
      <c r="A49" s="95">
        <v>30</v>
      </c>
      <c r="B49" s="96"/>
      <c r="C49" s="207" t="str">
        <f t="shared" si="0"/>
        <v/>
      </c>
      <c r="D49" s="100"/>
      <c r="E49" s="98"/>
      <c r="F49" s="92" t="str">
        <f t="shared" si="1"/>
        <v/>
      </c>
      <c r="G49" s="93"/>
      <c r="H49" s="177"/>
      <c r="I49" s="99" t="str">
        <f t="shared" si="2"/>
        <v/>
      </c>
      <c r="J49" s="76"/>
      <c r="K49" s="185"/>
      <c r="L49" s="76"/>
      <c r="M49" s="76"/>
      <c r="N49" s="76"/>
      <c r="O49" s="76"/>
      <c r="P49" s="185"/>
      <c r="Q49" s="192"/>
      <c r="R49" s="188"/>
      <c r="S49" s="175" t="str">
        <f t="shared" si="3"/>
        <v/>
      </c>
      <c r="T49" s="175" t="str">
        <f t="shared" si="4"/>
        <v/>
      </c>
      <c r="U49" s="88" t="str">
        <f t="shared" si="5"/>
        <v/>
      </c>
      <c r="W49" s="175" t="str">
        <f t="shared" si="6"/>
        <v/>
      </c>
      <c r="X49" s="175" t="str">
        <f t="shared" si="7"/>
        <v/>
      </c>
      <c r="Y49" s="88" t="str">
        <f t="shared" si="8"/>
        <v/>
      </c>
    </row>
    <row r="50" spans="1:25" ht="23.1" customHeight="1" x14ac:dyDescent="0.2">
      <c r="A50" s="95">
        <v>31</v>
      </c>
      <c r="B50" s="96"/>
      <c r="C50" s="207" t="str">
        <f t="shared" si="0"/>
        <v/>
      </c>
      <c r="D50" s="100"/>
      <c r="E50" s="98"/>
      <c r="F50" s="92" t="str">
        <f t="shared" si="1"/>
        <v/>
      </c>
      <c r="G50" s="93"/>
      <c r="H50" s="177"/>
      <c r="I50" s="99" t="str">
        <f t="shared" si="2"/>
        <v/>
      </c>
      <c r="J50" s="76"/>
      <c r="K50" s="185"/>
      <c r="L50" s="76"/>
      <c r="M50" s="76"/>
      <c r="N50" s="76"/>
      <c r="O50" s="76"/>
      <c r="P50" s="185"/>
      <c r="Q50" s="192"/>
      <c r="R50" s="188"/>
      <c r="S50" s="175" t="str">
        <f t="shared" si="3"/>
        <v/>
      </c>
      <c r="T50" s="175" t="str">
        <f t="shared" si="4"/>
        <v/>
      </c>
      <c r="U50" s="88" t="str">
        <f t="shared" si="5"/>
        <v/>
      </c>
      <c r="W50" s="175" t="str">
        <f t="shared" si="6"/>
        <v/>
      </c>
      <c r="X50" s="175" t="str">
        <f t="shared" si="7"/>
        <v/>
      </c>
      <c r="Y50" s="88" t="str">
        <f t="shared" si="8"/>
        <v/>
      </c>
    </row>
    <row r="51" spans="1:25" ht="23.1" customHeight="1" x14ac:dyDescent="0.2">
      <c r="A51" s="95">
        <v>32</v>
      </c>
      <c r="B51" s="96"/>
      <c r="C51" s="207" t="str">
        <f t="shared" si="0"/>
        <v/>
      </c>
      <c r="D51" s="100"/>
      <c r="E51" s="98"/>
      <c r="F51" s="92" t="str">
        <f t="shared" si="1"/>
        <v/>
      </c>
      <c r="G51" s="93"/>
      <c r="H51" s="177"/>
      <c r="I51" s="99" t="str">
        <f t="shared" si="2"/>
        <v/>
      </c>
      <c r="J51" s="76"/>
      <c r="K51" s="185"/>
      <c r="L51" s="76"/>
      <c r="M51" s="76"/>
      <c r="N51" s="76"/>
      <c r="O51" s="76"/>
      <c r="P51" s="185"/>
      <c r="Q51" s="192"/>
      <c r="R51" s="188"/>
      <c r="S51" s="175" t="str">
        <f t="shared" si="3"/>
        <v/>
      </c>
      <c r="T51" s="175" t="str">
        <f t="shared" si="4"/>
        <v/>
      </c>
      <c r="U51" s="88" t="str">
        <f t="shared" si="5"/>
        <v/>
      </c>
      <c r="W51" s="175" t="str">
        <f t="shared" si="6"/>
        <v/>
      </c>
      <c r="X51" s="175" t="str">
        <f t="shared" si="7"/>
        <v/>
      </c>
      <c r="Y51" s="88" t="str">
        <f t="shared" si="8"/>
        <v/>
      </c>
    </row>
    <row r="52" spans="1:25" ht="23.1" customHeight="1" x14ac:dyDescent="0.2">
      <c r="A52" s="95">
        <v>33</v>
      </c>
      <c r="B52" s="96"/>
      <c r="C52" s="207" t="str">
        <f t="shared" ref="C52:C68" si="9">IF($Q52="","",IF($Q52=1,VLOOKUP($R52,SaKoBereichAufwand,4,FALSE),VLOOKUP($R52,SaKoBereichErtrag,4,FALSE)))</f>
        <v/>
      </c>
      <c r="D52" s="100"/>
      <c r="E52" s="98"/>
      <c r="F52" s="92" t="str">
        <f t="shared" ref="F52:F68" si="10">IF($Q52="","",IF($Q52=1,VLOOKUP($R52,SaKoBereichAufwand,2,FALSE),VLOOKUP($R52,SaKoBereichErtrag,2,FALSE)))</f>
        <v/>
      </c>
      <c r="G52" s="93"/>
      <c r="H52" s="177"/>
      <c r="I52" s="99" t="str">
        <f t="shared" si="2"/>
        <v/>
      </c>
      <c r="J52" s="76"/>
      <c r="K52" s="185"/>
      <c r="L52" s="76"/>
      <c r="M52" s="76"/>
      <c r="N52" s="76"/>
      <c r="O52" s="76"/>
      <c r="P52" s="185"/>
      <c r="Q52" s="192"/>
      <c r="R52" s="188"/>
      <c r="S52" s="175" t="str">
        <f t="shared" si="3"/>
        <v/>
      </c>
      <c r="T52" s="175" t="str">
        <f t="shared" si="4"/>
        <v/>
      </c>
      <c r="U52" s="88" t="str">
        <f t="shared" si="5"/>
        <v/>
      </c>
      <c r="W52" s="175" t="str">
        <f t="shared" si="6"/>
        <v/>
      </c>
      <c r="X52" s="175" t="str">
        <f t="shared" si="7"/>
        <v/>
      </c>
      <c r="Y52" s="88" t="str">
        <f t="shared" si="8"/>
        <v/>
      </c>
    </row>
    <row r="53" spans="1:25" ht="23.1" customHeight="1" x14ac:dyDescent="0.2">
      <c r="A53" s="95">
        <v>34</v>
      </c>
      <c r="B53" s="96"/>
      <c r="C53" s="207" t="str">
        <f t="shared" si="9"/>
        <v/>
      </c>
      <c r="D53" s="100"/>
      <c r="E53" s="98"/>
      <c r="F53" s="92" t="str">
        <f t="shared" si="10"/>
        <v/>
      </c>
      <c r="G53" s="93"/>
      <c r="H53" s="177"/>
      <c r="I53" s="99" t="str">
        <f t="shared" si="2"/>
        <v/>
      </c>
      <c r="J53" s="76"/>
      <c r="K53" s="185"/>
      <c r="L53" s="76"/>
      <c r="M53" s="76"/>
      <c r="N53" s="76"/>
      <c r="O53" s="76"/>
      <c r="P53" s="185"/>
      <c r="Q53" s="192"/>
      <c r="R53" s="188"/>
      <c r="S53" s="175" t="str">
        <f t="shared" si="3"/>
        <v/>
      </c>
      <c r="T53" s="175" t="str">
        <f t="shared" si="4"/>
        <v/>
      </c>
      <c r="U53" s="88" t="str">
        <f t="shared" si="5"/>
        <v/>
      </c>
      <c r="W53" s="175" t="str">
        <f t="shared" si="6"/>
        <v/>
      </c>
      <c r="X53" s="175" t="str">
        <f t="shared" si="7"/>
        <v/>
      </c>
      <c r="Y53" s="88" t="str">
        <f t="shared" si="8"/>
        <v/>
      </c>
    </row>
    <row r="54" spans="1:25" ht="23.1" customHeight="1" x14ac:dyDescent="0.2">
      <c r="A54" s="95">
        <v>35</v>
      </c>
      <c r="B54" s="96"/>
      <c r="C54" s="207" t="str">
        <f t="shared" si="9"/>
        <v/>
      </c>
      <c r="D54" s="100"/>
      <c r="E54" s="98"/>
      <c r="F54" s="92" t="str">
        <f t="shared" si="10"/>
        <v/>
      </c>
      <c r="G54" s="93"/>
      <c r="H54" s="177"/>
      <c r="I54" s="99" t="str">
        <f t="shared" si="2"/>
        <v/>
      </c>
      <c r="J54" s="76"/>
      <c r="K54" s="185"/>
      <c r="L54" s="76"/>
      <c r="M54" s="76"/>
      <c r="N54" s="76"/>
      <c r="O54" s="76"/>
      <c r="P54" s="185"/>
      <c r="Q54" s="192"/>
      <c r="R54" s="188"/>
      <c r="S54" s="175" t="str">
        <f t="shared" si="3"/>
        <v/>
      </c>
      <c r="T54" s="175" t="str">
        <f t="shared" si="4"/>
        <v/>
      </c>
      <c r="U54" s="88" t="str">
        <f t="shared" si="5"/>
        <v/>
      </c>
      <c r="W54" s="175" t="str">
        <f t="shared" si="6"/>
        <v/>
      </c>
      <c r="X54" s="175" t="str">
        <f t="shared" si="7"/>
        <v/>
      </c>
      <c r="Y54" s="88" t="str">
        <f t="shared" si="8"/>
        <v/>
      </c>
    </row>
    <row r="55" spans="1:25" ht="23.1" customHeight="1" x14ac:dyDescent="0.2">
      <c r="A55" s="95">
        <v>36</v>
      </c>
      <c r="B55" s="96"/>
      <c r="C55" s="207" t="str">
        <f t="shared" si="9"/>
        <v/>
      </c>
      <c r="D55" s="100"/>
      <c r="E55" s="98"/>
      <c r="F55" s="92" t="str">
        <f t="shared" si="10"/>
        <v/>
      </c>
      <c r="G55" s="93"/>
      <c r="H55" s="177"/>
      <c r="I55" s="99" t="str">
        <f t="shared" si="2"/>
        <v/>
      </c>
      <c r="J55" s="76"/>
      <c r="K55" s="185"/>
      <c r="L55" s="76"/>
      <c r="M55" s="76"/>
      <c r="N55" s="76"/>
      <c r="O55" s="76"/>
      <c r="P55" s="185"/>
      <c r="Q55" s="192"/>
      <c r="R55" s="188"/>
      <c r="S55" s="175" t="str">
        <f t="shared" si="3"/>
        <v/>
      </c>
      <c r="T55" s="175" t="str">
        <f t="shared" si="4"/>
        <v/>
      </c>
      <c r="U55" s="88" t="str">
        <f t="shared" si="5"/>
        <v/>
      </c>
      <c r="W55" s="175" t="str">
        <f t="shared" si="6"/>
        <v/>
      </c>
      <c r="X55" s="175" t="str">
        <f t="shared" si="7"/>
        <v/>
      </c>
      <c r="Y55" s="88" t="str">
        <f t="shared" si="8"/>
        <v/>
      </c>
    </row>
    <row r="56" spans="1:25" ht="23.1" customHeight="1" x14ac:dyDescent="0.2">
      <c r="A56" s="95">
        <v>37</v>
      </c>
      <c r="B56" s="96"/>
      <c r="C56" s="207" t="str">
        <f t="shared" si="9"/>
        <v/>
      </c>
      <c r="D56" s="100"/>
      <c r="E56" s="98"/>
      <c r="F56" s="92" t="str">
        <f t="shared" si="10"/>
        <v/>
      </c>
      <c r="G56" s="93"/>
      <c r="H56" s="177"/>
      <c r="I56" s="99" t="str">
        <f t="shared" si="2"/>
        <v/>
      </c>
      <c r="J56" s="76"/>
      <c r="K56" s="185"/>
      <c r="L56" s="76"/>
      <c r="M56" s="76"/>
      <c r="N56" s="76"/>
      <c r="O56" s="76"/>
      <c r="P56" s="185"/>
      <c r="Q56" s="192"/>
      <c r="R56" s="188"/>
      <c r="S56" s="175" t="str">
        <f t="shared" si="3"/>
        <v/>
      </c>
      <c r="T56" s="175" t="str">
        <f t="shared" si="4"/>
        <v/>
      </c>
      <c r="U56" s="88" t="str">
        <f t="shared" si="5"/>
        <v/>
      </c>
      <c r="W56" s="175" t="str">
        <f t="shared" si="6"/>
        <v/>
      </c>
      <c r="X56" s="175" t="str">
        <f t="shared" si="7"/>
        <v/>
      </c>
      <c r="Y56" s="88" t="str">
        <f t="shared" si="8"/>
        <v/>
      </c>
    </row>
    <row r="57" spans="1:25" ht="23.1" customHeight="1" x14ac:dyDescent="0.2">
      <c r="A57" s="95">
        <v>38</v>
      </c>
      <c r="B57" s="96"/>
      <c r="C57" s="207" t="str">
        <f t="shared" si="9"/>
        <v/>
      </c>
      <c r="D57" s="100"/>
      <c r="E57" s="98"/>
      <c r="F57" s="92" t="str">
        <f t="shared" si="10"/>
        <v/>
      </c>
      <c r="G57" s="93"/>
      <c r="H57" s="177"/>
      <c r="I57" s="99" t="str">
        <f t="shared" si="2"/>
        <v/>
      </c>
      <c r="J57" s="76"/>
      <c r="K57" s="185"/>
      <c r="L57" s="76"/>
      <c r="M57" s="76"/>
      <c r="N57" s="76"/>
      <c r="O57" s="76"/>
      <c r="P57" s="185"/>
      <c r="Q57" s="192"/>
      <c r="R57" s="188"/>
      <c r="S57" s="175" t="str">
        <f t="shared" si="3"/>
        <v/>
      </c>
      <c r="T57" s="175" t="str">
        <f t="shared" si="4"/>
        <v/>
      </c>
      <c r="U57" s="88" t="str">
        <f t="shared" si="5"/>
        <v/>
      </c>
      <c r="W57" s="175" t="str">
        <f t="shared" si="6"/>
        <v/>
      </c>
      <c r="X57" s="175" t="str">
        <f t="shared" si="7"/>
        <v/>
      </c>
      <c r="Y57" s="88" t="str">
        <f t="shared" si="8"/>
        <v/>
      </c>
    </row>
    <row r="58" spans="1:25" ht="23.1" customHeight="1" x14ac:dyDescent="0.2">
      <c r="A58" s="95">
        <v>39</v>
      </c>
      <c r="B58" s="96"/>
      <c r="C58" s="207" t="str">
        <f t="shared" si="9"/>
        <v/>
      </c>
      <c r="D58" s="100"/>
      <c r="E58" s="98"/>
      <c r="F58" s="92" t="str">
        <f t="shared" si="10"/>
        <v/>
      </c>
      <c r="G58" s="93"/>
      <c r="H58" s="177"/>
      <c r="I58" s="99" t="str">
        <f t="shared" si="2"/>
        <v/>
      </c>
      <c r="J58" s="76"/>
      <c r="K58" s="185"/>
      <c r="L58" s="76"/>
      <c r="M58" s="76"/>
      <c r="N58" s="76"/>
      <c r="O58" s="76"/>
      <c r="P58" s="185"/>
      <c r="Q58" s="192"/>
      <c r="R58" s="188"/>
      <c r="S58" s="175" t="str">
        <f t="shared" si="3"/>
        <v/>
      </c>
      <c r="T58" s="175" t="str">
        <f t="shared" si="4"/>
        <v/>
      </c>
      <c r="U58" s="88" t="str">
        <f t="shared" si="5"/>
        <v/>
      </c>
      <c r="W58" s="175" t="str">
        <f t="shared" si="6"/>
        <v/>
      </c>
      <c r="X58" s="175" t="str">
        <f t="shared" si="7"/>
        <v/>
      </c>
      <c r="Y58" s="88" t="str">
        <f t="shared" si="8"/>
        <v/>
      </c>
    </row>
    <row r="59" spans="1:25" ht="23.1" customHeight="1" x14ac:dyDescent="0.2">
      <c r="A59" s="95">
        <v>40</v>
      </c>
      <c r="B59" s="96"/>
      <c r="C59" s="207" t="str">
        <f t="shared" si="9"/>
        <v/>
      </c>
      <c r="D59" s="100"/>
      <c r="E59" s="98"/>
      <c r="F59" s="92" t="str">
        <f t="shared" si="10"/>
        <v/>
      </c>
      <c r="G59" s="93"/>
      <c r="H59" s="177"/>
      <c r="I59" s="99" t="str">
        <f t="shared" si="2"/>
        <v/>
      </c>
      <c r="J59" s="76"/>
      <c r="K59" s="185"/>
      <c r="L59" s="76"/>
      <c r="M59" s="76"/>
      <c r="N59" s="76"/>
      <c r="O59" s="76"/>
      <c r="P59" s="185"/>
      <c r="Q59" s="192"/>
      <c r="R59" s="188"/>
      <c r="S59" s="175" t="str">
        <f t="shared" si="3"/>
        <v/>
      </c>
      <c r="T59" s="175" t="str">
        <f t="shared" si="4"/>
        <v/>
      </c>
      <c r="U59" s="88" t="str">
        <f t="shared" si="5"/>
        <v/>
      </c>
      <c r="W59" s="175" t="str">
        <f t="shared" si="6"/>
        <v/>
      </c>
      <c r="X59" s="175" t="str">
        <f t="shared" si="7"/>
        <v/>
      </c>
      <c r="Y59" s="88" t="str">
        <f t="shared" si="8"/>
        <v/>
      </c>
    </row>
    <row r="60" spans="1:25" ht="23.1" customHeight="1" x14ac:dyDescent="0.2">
      <c r="A60" s="95">
        <v>41</v>
      </c>
      <c r="B60" s="96"/>
      <c r="C60" s="207" t="str">
        <f t="shared" si="9"/>
        <v/>
      </c>
      <c r="D60" s="100"/>
      <c r="E60" s="98"/>
      <c r="F60" s="92" t="str">
        <f t="shared" si="10"/>
        <v/>
      </c>
      <c r="G60" s="93"/>
      <c r="H60" s="177"/>
      <c r="I60" s="99" t="str">
        <f t="shared" si="2"/>
        <v/>
      </c>
      <c r="J60" s="76"/>
      <c r="K60" s="185"/>
      <c r="L60" s="76"/>
      <c r="M60" s="76"/>
      <c r="N60" s="76"/>
      <c r="O60" s="76"/>
      <c r="P60" s="185"/>
      <c r="Q60" s="192"/>
      <c r="R60" s="188"/>
      <c r="S60" s="175" t="str">
        <f t="shared" si="3"/>
        <v/>
      </c>
      <c r="T60" s="175" t="str">
        <f t="shared" si="4"/>
        <v/>
      </c>
      <c r="U60" s="88" t="str">
        <f t="shared" si="5"/>
        <v/>
      </c>
      <c r="W60" s="175" t="str">
        <f t="shared" si="6"/>
        <v/>
      </c>
      <c r="X60" s="175" t="str">
        <f t="shared" si="7"/>
        <v/>
      </c>
      <c r="Y60" s="88" t="str">
        <f t="shared" si="8"/>
        <v/>
      </c>
    </row>
    <row r="61" spans="1:25" ht="23.1" customHeight="1" x14ac:dyDescent="0.2">
      <c r="A61" s="95">
        <v>42</v>
      </c>
      <c r="B61" s="96"/>
      <c r="C61" s="207" t="str">
        <f t="shared" si="9"/>
        <v/>
      </c>
      <c r="D61" s="100"/>
      <c r="E61" s="98"/>
      <c r="F61" s="92" t="str">
        <f t="shared" si="10"/>
        <v/>
      </c>
      <c r="G61" s="93"/>
      <c r="H61" s="177"/>
      <c r="I61" s="99" t="str">
        <f t="shared" si="2"/>
        <v/>
      </c>
      <c r="J61" s="76"/>
      <c r="K61" s="185"/>
      <c r="L61" s="76"/>
      <c r="M61" s="76"/>
      <c r="N61" s="76"/>
      <c r="O61" s="76"/>
      <c r="P61" s="185"/>
      <c r="Q61" s="192"/>
      <c r="R61" s="188"/>
      <c r="S61" s="175" t="str">
        <f t="shared" si="3"/>
        <v/>
      </c>
      <c r="T61" s="175" t="str">
        <f t="shared" si="4"/>
        <v/>
      </c>
      <c r="U61" s="88" t="str">
        <f t="shared" si="5"/>
        <v/>
      </c>
      <c r="W61" s="175" t="str">
        <f t="shared" si="6"/>
        <v/>
      </c>
      <c r="X61" s="175" t="str">
        <f t="shared" si="7"/>
        <v/>
      </c>
      <c r="Y61" s="88" t="str">
        <f t="shared" si="8"/>
        <v/>
      </c>
    </row>
    <row r="62" spans="1:25" ht="23.1" customHeight="1" x14ac:dyDescent="0.2">
      <c r="A62" s="95">
        <v>43</v>
      </c>
      <c r="B62" s="96"/>
      <c r="C62" s="207" t="str">
        <f t="shared" si="9"/>
        <v/>
      </c>
      <c r="D62" s="100"/>
      <c r="E62" s="98"/>
      <c r="F62" s="92" t="str">
        <f t="shared" si="10"/>
        <v/>
      </c>
      <c r="G62" s="93"/>
      <c r="H62" s="177"/>
      <c r="I62" s="99" t="str">
        <f t="shared" si="2"/>
        <v/>
      </c>
      <c r="J62" s="76"/>
      <c r="K62" s="185"/>
      <c r="L62" s="76"/>
      <c r="M62" s="76"/>
      <c r="N62" s="76"/>
      <c r="O62" s="76"/>
      <c r="P62" s="185"/>
      <c r="Q62" s="192"/>
      <c r="R62" s="188"/>
      <c r="S62" s="175" t="str">
        <f t="shared" si="3"/>
        <v/>
      </c>
      <c r="T62" s="175" t="str">
        <f t="shared" si="4"/>
        <v/>
      </c>
      <c r="U62" s="88" t="str">
        <f t="shared" si="5"/>
        <v/>
      </c>
      <c r="W62" s="175" t="str">
        <f t="shared" si="6"/>
        <v/>
      </c>
      <c r="X62" s="175" t="str">
        <f t="shared" si="7"/>
        <v/>
      </c>
      <c r="Y62" s="88" t="str">
        <f t="shared" si="8"/>
        <v/>
      </c>
    </row>
    <row r="63" spans="1:25" ht="23.1" customHeight="1" x14ac:dyDescent="0.2">
      <c r="A63" s="95">
        <v>44</v>
      </c>
      <c r="B63" s="96"/>
      <c r="C63" s="207" t="str">
        <f t="shared" si="9"/>
        <v/>
      </c>
      <c r="D63" s="100"/>
      <c r="E63" s="98"/>
      <c r="F63" s="92" t="str">
        <f t="shared" si="10"/>
        <v/>
      </c>
      <c r="G63" s="93"/>
      <c r="H63" s="177"/>
      <c r="I63" s="99" t="str">
        <f t="shared" si="2"/>
        <v/>
      </c>
      <c r="J63" s="76"/>
      <c r="K63" s="185"/>
      <c r="L63" s="76"/>
      <c r="M63" s="76"/>
      <c r="N63" s="76"/>
      <c r="O63" s="76"/>
      <c r="P63" s="185"/>
      <c r="Q63" s="192"/>
      <c r="R63" s="188"/>
      <c r="S63" s="175" t="str">
        <f t="shared" si="3"/>
        <v/>
      </c>
      <c r="T63" s="175" t="str">
        <f t="shared" si="4"/>
        <v/>
      </c>
      <c r="U63" s="88" t="str">
        <f t="shared" si="5"/>
        <v/>
      </c>
      <c r="W63" s="175" t="str">
        <f t="shared" si="6"/>
        <v/>
      </c>
      <c r="X63" s="175" t="str">
        <f t="shared" si="7"/>
        <v/>
      </c>
      <c r="Y63" s="88" t="str">
        <f t="shared" si="8"/>
        <v/>
      </c>
    </row>
    <row r="64" spans="1:25" ht="23.1" customHeight="1" x14ac:dyDescent="0.2">
      <c r="A64" s="95">
        <v>45</v>
      </c>
      <c r="B64" s="96"/>
      <c r="C64" s="207" t="str">
        <f t="shared" si="9"/>
        <v/>
      </c>
      <c r="D64" s="100"/>
      <c r="E64" s="98"/>
      <c r="F64" s="92" t="str">
        <f t="shared" si="10"/>
        <v/>
      </c>
      <c r="G64" s="93"/>
      <c r="H64" s="177"/>
      <c r="I64" s="99" t="str">
        <f t="shared" si="2"/>
        <v/>
      </c>
      <c r="J64" s="76"/>
      <c r="K64" s="185"/>
      <c r="L64" s="76"/>
      <c r="M64" s="76"/>
      <c r="N64" s="76"/>
      <c r="O64" s="76"/>
      <c r="P64" s="185"/>
      <c r="Q64" s="192"/>
      <c r="R64" s="188"/>
      <c r="S64" s="175" t="str">
        <f t="shared" si="3"/>
        <v/>
      </c>
      <c r="T64" s="175" t="str">
        <f t="shared" si="4"/>
        <v/>
      </c>
      <c r="U64" s="88" t="str">
        <f t="shared" si="5"/>
        <v/>
      </c>
      <c r="W64" s="175" t="str">
        <f t="shared" si="6"/>
        <v/>
      </c>
      <c r="X64" s="175" t="str">
        <f t="shared" si="7"/>
        <v/>
      </c>
      <c r="Y64" s="88" t="str">
        <f t="shared" si="8"/>
        <v/>
      </c>
    </row>
    <row r="65" spans="1:25" ht="23.1" customHeight="1" x14ac:dyDescent="0.2">
      <c r="A65" s="95">
        <v>46</v>
      </c>
      <c r="B65" s="96"/>
      <c r="C65" s="207" t="str">
        <f t="shared" si="9"/>
        <v/>
      </c>
      <c r="D65" s="100"/>
      <c r="E65" s="98"/>
      <c r="F65" s="92" t="str">
        <f t="shared" si="10"/>
        <v/>
      </c>
      <c r="G65" s="93"/>
      <c r="H65" s="177"/>
      <c r="I65" s="99" t="str">
        <f t="shared" si="2"/>
        <v/>
      </c>
      <c r="J65" s="76"/>
      <c r="K65" s="185"/>
      <c r="L65" s="76"/>
      <c r="M65" s="76"/>
      <c r="N65" s="76"/>
      <c r="O65" s="76"/>
      <c r="P65" s="185"/>
      <c r="Q65" s="192"/>
      <c r="R65" s="188"/>
      <c r="S65" s="175" t="str">
        <f t="shared" si="3"/>
        <v/>
      </c>
      <c r="T65" s="175" t="str">
        <f t="shared" si="4"/>
        <v/>
      </c>
      <c r="U65" s="88" t="str">
        <f t="shared" si="5"/>
        <v/>
      </c>
      <c r="W65" s="175" t="str">
        <f t="shared" si="6"/>
        <v/>
      </c>
      <c r="X65" s="175" t="str">
        <f t="shared" si="7"/>
        <v/>
      </c>
      <c r="Y65" s="88" t="str">
        <f t="shared" si="8"/>
        <v/>
      </c>
    </row>
    <row r="66" spans="1:25" ht="23.1" customHeight="1" x14ac:dyDescent="0.2">
      <c r="A66" s="95">
        <v>47</v>
      </c>
      <c r="B66" s="96"/>
      <c r="C66" s="207" t="str">
        <f t="shared" si="9"/>
        <v/>
      </c>
      <c r="D66" s="100"/>
      <c r="E66" s="98"/>
      <c r="F66" s="92" t="str">
        <f t="shared" si="10"/>
        <v/>
      </c>
      <c r="G66" s="93"/>
      <c r="H66" s="177"/>
      <c r="I66" s="99" t="str">
        <f t="shared" si="2"/>
        <v/>
      </c>
      <c r="J66" s="76"/>
      <c r="K66" s="185"/>
      <c r="L66" s="76"/>
      <c r="M66" s="76"/>
      <c r="N66" s="76"/>
      <c r="O66" s="76"/>
      <c r="P66" s="185"/>
      <c r="Q66" s="192"/>
      <c r="R66" s="188"/>
      <c r="S66" s="175" t="str">
        <f t="shared" si="3"/>
        <v/>
      </c>
      <c r="T66" s="175" t="str">
        <f t="shared" si="4"/>
        <v/>
      </c>
      <c r="U66" s="88" t="str">
        <f t="shared" si="5"/>
        <v/>
      </c>
      <c r="W66" s="175" t="str">
        <f t="shared" si="6"/>
        <v/>
      </c>
      <c r="X66" s="175" t="str">
        <f t="shared" si="7"/>
        <v/>
      </c>
      <c r="Y66" s="88" t="str">
        <f t="shared" si="8"/>
        <v/>
      </c>
    </row>
    <row r="67" spans="1:25" ht="23.1" customHeight="1" x14ac:dyDescent="0.2">
      <c r="A67" s="95">
        <v>48</v>
      </c>
      <c r="B67" s="96"/>
      <c r="C67" s="207" t="str">
        <f t="shared" si="9"/>
        <v/>
      </c>
      <c r="D67" s="100"/>
      <c r="E67" s="98"/>
      <c r="F67" s="92" t="str">
        <f t="shared" si="10"/>
        <v/>
      </c>
      <c r="G67" s="93"/>
      <c r="H67" s="177"/>
      <c r="I67" s="99" t="str">
        <f t="shared" si="2"/>
        <v/>
      </c>
      <c r="J67" s="76"/>
      <c r="K67" s="185"/>
      <c r="L67" s="76"/>
      <c r="M67" s="76"/>
      <c r="N67" s="76"/>
      <c r="O67" s="76"/>
      <c r="P67" s="185"/>
      <c r="Q67" s="192"/>
      <c r="R67" s="188"/>
      <c r="S67" s="175" t="str">
        <f t="shared" si="3"/>
        <v/>
      </c>
      <c r="T67" s="175" t="str">
        <f t="shared" si="4"/>
        <v/>
      </c>
      <c r="U67" s="88" t="str">
        <f t="shared" si="5"/>
        <v/>
      </c>
      <c r="W67" s="175" t="str">
        <f t="shared" si="6"/>
        <v/>
      </c>
      <c r="X67" s="175" t="str">
        <f t="shared" si="7"/>
        <v/>
      </c>
      <c r="Y67" s="88" t="str">
        <f t="shared" si="8"/>
        <v/>
      </c>
    </row>
    <row r="68" spans="1:25" ht="23.1" customHeight="1" x14ac:dyDescent="0.2">
      <c r="A68" s="95">
        <v>49</v>
      </c>
      <c r="B68" s="96"/>
      <c r="C68" s="207" t="str">
        <f t="shared" si="9"/>
        <v/>
      </c>
      <c r="D68" s="100"/>
      <c r="E68" s="98"/>
      <c r="F68" s="92" t="str">
        <f t="shared" si="10"/>
        <v/>
      </c>
      <c r="G68" s="93"/>
      <c r="H68" s="177"/>
      <c r="I68" s="99" t="str">
        <f t="shared" si="2"/>
        <v/>
      </c>
      <c r="J68" s="76"/>
      <c r="K68" s="185"/>
      <c r="L68" s="76"/>
      <c r="M68" s="76"/>
      <c r="N68" s="76"/>
      <c r="O68" s="76"/>
      <c r="P68" s="185"/>
      <c r="Q68" s="192"/>
      <c r="R68" s="188"/>
      <c r="S68" s="175" t="str">
        <f t="shared" si="3"/>
        <v/>
      </c>
      <c r="T68" s="175" t="str">
        <f t="shared" si="4"/>
        <v/>
      </c>
      <c r="U68" s="88" t="str">
        <f t="shared" si="5"/>
        <v/>
      </c>
      <c r="W68" s="175" t="str">
        <f t="shared" si="6"/>
        <v/>
      </c>
      <c r="X68" s="175" t="str">
        <f t="shared" si="7"/>
        <v/>
      </c>
      <c r="Y68" s="88" t="str">
        <f t="shared" si="8"/>
        <v/>
      </c>
    </row>
    <row r="69" spans="1:25" ht="21" customHeight="1" x14ac:dyDescent="0.2">
      <c r="B69" s="77"/>
      <c r="C69" s="77"/>
      <c r="D69" s="77" t="s">
        <v>100</v>
      </c>
      <c r="E69" s="77"/>
      <c r="F69" s="77"/>
      <c r="G69" s="78">
        <f>SUM(G20:G68)</f>
        <v>0</v>
      </c>
      <c r="H69" s="178">
        <f>SUM(H20:H68)</f>
        <v>0</v>
      </c>
      <c r="I69" s="174">
        <f>$I$11+G69-H69</f>
        <v>0</v>
      </c>
      <c r="J69" s="76"/>
      <c r="K69" s="185"/>
      <c r="L69" s="76"/>
      <c r="M69" s="76"/>
      <c r="N69" s="76"/>
      <c r="O69" s="76"/>
      <c r="P69" s="185"/>
      <c r="Q69" s="185"/>
      <c r="R69" s="185"/>
    </row>
  </sheetData>
  <sheetProtection algorithmName="SHA-512" hashValue="P54LEHYBSNtwPQ8RTSl9vg/Kw/io8pW6wbID+0UEXgtJI58IardHAWVHLW857oZsUlr4WgVQEamIcrXw31s5NA==" saltValue="wnaSbHmbImJO9l7oOjLseg==" spinCount="100000" sheet="1" objects="1" scenarios="1" selectLockedCells="1"/>
  <dataConsolidate/>
  <mergeCells count="13">
    <mergeCell ref="M19:O19"/>
    <mergeCell ref="B14:D16"/>
    <mergeCell ref="M2:N4"/>
    <mergeCell ref="D2:D4"/>
    <mergeCell ref="D7:D8"/>
    <mergeCell ref="H2:I4"/>
    <mergeCell ref="D5:I5"/>
    <mergeCell ref="K2:K4"/>
    <mergeCell ref="S18:U18"/>
    <mergeCell ref="W18:Y18"/>
    <mergeCell ref="S17:Y17"/>
    <mergeCell ref="G8:I8"/>
    <mergeCell ref="K10:O17"/>
  </mergeCells>
  <dataValidations count="2">
    <dataValidation type="custom" showInputMessage="1" showErrorMessage="1" errorTitle="Eingabe im falschen Feld!!" error="Sie haben die Kategorie &quot;Aufwand&quot; gewählt - bitte geben Sie den Betrag in der dafür vorgesehenen Spalte &quot;Aufwand&quot; ein!" sqref="G20:G68">
      <formula1>$Q20=2</formula1>
    </dataValidation>
    <dataValidation type="custom" showInputMessage="1" showErrorMessage="1" errorTitle="Eingabe im falschen Feld!!" error="Sie haben die Kategorie &quot;Ertrag&quot; gewählt - bitte geben Sie den Betrag in der dafür vorgesehenen Spalte &quot;Ertrag&quot; ein!" sqref="H20:H68">
      <formula1>$Q20=1</formula1>
    </dataValidation>
  </dataValidations>
  <pageMargins left="0.55118110236220474" right="0.27559055118110237" top="0.39370078740157483" bottom="0.47244094488188981" header="0.35433070866141736" footer="0.15748031496062992"/>
  <pageSetup paperSize="9" scale="87" fitToHeight="5" orientation="portrait" r:id="rId1"/>
  <headerFooter alignWithMargins="0">
    <oddFooter>&amp;L&amp;"Calibri,Standard"&amp;7Stand: &amp;D&amp;C&amp;"Calibri,Standard"&amp;7Seite &amp;P&amp;R&amp;"Calibri,Standard"&amp;7Version: &amp;F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33" r:id="rId4" name="Drop Down 13">
              <controlPr defaultSize="0" autoLine="0" autoPict="0">
                <anchor moveWithCells="1">
                  <from>
                    <xdr:col>12</xdr:col>
                    <xdr:colOff>19050</xdr:colOff>
                    <xdr:row>20</xdr:row>
                    <xdr:rowOff>19050</xdr:rowOff>
                  </from>
                  <to>
                    <xdr:col>14</xdr:col>
                    <xdr:colOff>914400</xdr:colOff>
                    <xdr:row>21</xdr:row>
                    <xdr:rowOff>9525</xdr:rowOff>
                  </to>
                </anchor>
              </controlPr>
            </control>
          </mc:Choice>
        </mc:AlternateContent>
        <mc:AlternateContent xmlns:mc="http://schemas.openxmlformats.org/markup-compatibility/2006">
          <mc:Choice Requires="x14">
            <control shapeId="5134" r:id="rId5" name="Drop Down 14">
              <controlPr defaultSize="0" autoLine="0" autoPict="0">
                <anchor moveWithCells="1">
                  <from>
                    <xdr:col>12</xdr:col>
                    <xdr:colOff>19050</xdr:colOff>
                    <xdr:row>21</xdr:row>
                    <xdr:rowOff>19050</xdr:rowOff>
                  </from>
                  <to>
                    <xdr:col>14</xdr:col>
                    <xdr:colOff>914400</xdr:colOff>
                    <xdr:row>22</xdr:row>
                    <xdr:rowOff>9525</xdr:rowOff>
                  </to>
                </anchor>
              </controlPr>
            </control>
          </mc:Choice>
        </mc:AlternateContent>
        <mc:AlternateContent xmlns:mc="http://schemas.openxmlformats.org/markup-compatibility/2006">
          <mc:Choice Requires="x14">
            <control shapeId="5135" r:id="rId6" name="Drop Down 15">
              <controlPr defaultSize="0" autoLine="0" autoPict="0">
                <anchor moveWithCells="1">
                  <from>
                    <xdr:col>12</xdr:col>
                    <xdr:colOff>19050</xdr:colOff>
                    <xdr:row>22</xdr:row>
                    <xdr:rowOff>19050</xdr:rowOff>
                  </from>
                  <to>
                    <xdr:col>14</xdr:col>
                    <xdr:colOff>914400</xdr:colOff>
                    <xdr:row>23</xdr:row>
                    <xdr:rowOff>9525</xdr:rowOff>
                  </to>
                </anchor>
              </controlPr>
            </control>
          </mc:Choice>
        </mc:AlternateContent>
        <mc:AlternateContent xmlns:mc="http://schemas.openxmlformats.org/markup-compatibility/2006">
          <mc:Choice Requires="x14">
            <control shapeId="5136" r:id="rId7" name="Drop Down 16">
              <controlPr defaultSize="0" autoLine="0" autoPict="0">
                <anchor moveWithCells="1">
                  <from>
                    <xdr:col>12</xdr:col>
                    <xdr:colOff>19050</xdr:colOff>
                    <xdr:row>23</xdr:row>
                    <xdr:rowOff>19050</xdr:rowOff>
                  </from>
                  <to>
                    <xdr:col>14</xdr:col>
                    <xdr:colOff>914400</xdr:colOff>
                    <xdr:row>24</xdr:row>
                    <xdr:rowOff>9525</xdr:rowOff>
                  </to>
                </anchor>
              </controlPr>
            </control>
          </mc:Choice>
        </mc:AlternateContent>
        <mc:AlternateContent xmlns:mc="http://schemas.openxmlformats.org/markup-compatibility/2006">
          <mc:Choice Requires="x14">
            <control shapeId="5137" r:id="rId8" name="Drop Down 17">
              <controlPr defaultSize="0" autoLine="0" autoPict="0">
                <anchor moveWithCells="1">
                  <from>
                    <xdr:col>12</xdr:col>
                    <xdr:colOff>19050</xdr:colOff>
                    <xdr:row>24</xdr:row>
                    <xdr:rowOff>19050</xdr:rowOff>
                  </from>
                  <to>
                    <xdr:col>14</xdr:col>
                    <xdr:colOff>914400</xdr:colOff>
                    <xdr:row>25</xdr:row>
                    <xdr:rowOff>9525</xdr:rowOff>
                  </to>
                </anchor>
              </controlPr>
            </control>
          </mc:Choice>
        </mc:AlternateContent>
        <mc:AlternateContent xmlns:mc="http://schemas.openxmlformats.org/markup-compatibility/2006">
          <mc:Choice Requires="x14">
            <control shapeId="5138" r:id="rId9" name="Drop Down 18">
              <controlPr defaultSize="0" autoLine="0" autoPict="0">
                <anchor moveWithCells="1">
                  <from>
                    <xdr:col>12</xdr:col>
                    <xdr:colOff>19050</xdr:colOff>
                    <xdr:row>25</xdr:row>
                    <xdr:rowOff>19050</xdr:rowOff>
                  </from>
                  <to>
                    <xdr:col>14</xdr:col>
                    <xdr:colOff>914400</xdr:colOff>
                    <xdr:row>26</xdr:row>
                    <xdr:rowOff>9525</xdr:rowOff>
                  </to>
                </anchor>
              </controlPr>
            </control>
          </mc:Choice>
        </mc:AlternateContent>
        <mc:AlternateContent xmlns:mc="http://schemas.openxmlformats.org/markup-compatibility/2006">
          <mc:Choice Requires="x14">
            <control shapeId="5139" r:id="rId10" name="Drop Down 19">
              <controlPr defaultSize="0" autoLine="0" autoPict="0">
                <anchor moveWithCells="1">
                  <from>
                    <xdr:col>12</xdr:col>
                    <xdr:colOff>19050</xdr:colOff>
                    <xdr:row>26</xdr:row>
                    <xdr:rowOff>19050</xdr:rowOff>
                  </from>
                  <to>
                    <xdr:col>14</xdr:col>
                    <xdr:colOff>914400</xdr:colOff>
                    <xdr:row>27</xdr:row>
                    <xdr:rowOff>9525</xdr:rowOff>
                  </to>
                </anchor>
              </controlPr>
            </control>
          </mc:Choice>
        </mc:AlternateContent>
        <mc:AlternateContent xmlns:mc="http://schemas.openxmlformats.org/markup-compatibility/2006">
          <mc:Choice Requires="x14">
            <control shapeId="5140" r:id="rId11" name="Drop Down 20">
              <controlPr defaultSize="0" autoLine="0" autoPict="0">
                <anchor moveWithCells="1">
                  <from>
                    <xdr:col>12</xdr:col>
                    <xdr:colOff>19050</xdr:colOff>
                    <xdr:row>27</xdr:row>
                    <xdr:rowOff>19050</xdr:rowOff>
                  </from>
                  <to>
                    <xdr:col>14</xdr:col>
                    <xdr:colOff>914400</xdr:colOff>
                    <xdr:row>28</xdr:row>
                    <xdr:rowOff>9525</xdr:rowOff>
                  </to>
                </anchor>
              </controlPr>
            </control>
          </mc:Choice>
        </mc:AlternateContent>
        <mc:AlternateContent xmlns:mc="http://schemas.openxmlformats.org/markup-compatibility/2006">
          <mc:Choice Requires="x14">
            <control shapeId="5141" r:id="rId12" name="Drop Down 21">
              <controlPr defaultSize="0" autoLine="0" autoPict="0">
                <anchor moveWithCells="1">
                  <from>
                    <xdr:col>12</xdr:col>
                    <xdr:colOff>19050</xdr:colOff>
                    <xdr:row>28</xdr:row>
                    <xdr:rowOff>19050</xdr:rowOff>
                  </from>
                  <to>
                    <xdr:col>14</xdr:col>
                    <xdr:colOff>914400</xdr:colOff>
                    <xdr:row>29</xdr:row>
                    <xdr:rowOff>9525</xdr:rowOff>
                  </to>
                </anchor>
              </controlPr>
            </control>
          </mc:Choice>
        </mc:AlternateContent>
        <mc:AlternateContent xmlns:mc="http://schemas.openxmlformats.org/markup-compatibility/2006">
          <mc:Choice Requires="x14">
            <control shapeId="5142" r:id="rId13" name="Drop Down 22">
              <controlPr defaultSize="0" autoLine="0" autoPict="0">
                <anchor moveWithCells="1">
                  <from>
                    <xdr:col>12</xdr:col>
                    <xdr:colOff>19050</xdr:colOff>
                    <xdr:row>29</xdr:row>
                    <xdr:rowOff>19050</xdr:rowOff>
                  </from>
                  <to>
                    <xdr:col>14</xdr:col>
                    <xdr:colOff>914400</xdr:colOff>
                    <xdr:row>30</xdr:row>
                    <xdr:rowOff>9525</xdr:rowOff>
                  </to>
                </anchor>
              </controlPr>
            </control>
          </mc:Choice>
        </mc:AlternateContent>
        <mc:AlternateContent xmlns:mc="http://schemas.openxmlformats.org/markup-compatibility/2006">
          <mc:Choice Requires="x14">
            <control shapeId="5143" r:id="rId14" name="Drop Down 23">
              <controlPr defaultSize="0" autoLine="0" autoPict="0">
                <anchor moveWithCells="1">
                  <from>
                    <xdr:col>12</xdr:col>
                    <xdr:colOff>19050</xdr:colOff>
                    <xdr:row>30</xdr:row>
                    <xdr:rowOff>19050</xdr:rowOff>
                  </from>
                  <to>
                    <xdr:col>14</xdr:col>
                    <xdr:colOff>914400</xdr:colOff>
                    <xdr:row>31</xdr:row>
                    <xdr:rowOff>9525</xdr:rowOff>
                  </to>
                </anchor>
              </controlPr>
            </control>
          </mc:Choice>
        </mc:AlternateContent>
        <mc:AlternateContent xmlns:mc="http://schemas.openxmlformats.org/markup-compatibility/2006">
          <mc:Choice Requires="x14">
            <control shapeId="5144" r:id="rId15" name="Drop Down 24">
              <controlPr defaultSize="0" autoLine="0" autoPict="0">
                <anchor moveWithCells="1">
                  <from>
                    <xdr:col>12</xdr:col>
                    <xdr:colOff>19050</xdr:colOff>
                    <xdr:row>31</xdr:row>
                    <xdr:rowOff>19050</xdr:rowOff>
                  </from>
                  <to>
                    <xdr:col>14</xdr:col>
                    <xdr:colOff>914400</xdr:colOff>
                    <xdr:row>32</xdr:row>
                    <xdr:rowOff>9525</xdr:rowOff>
                  </to>
                </anchor>
              </controlPr>
            </control>
          </mc:Choice>
        </mc:AlternateContent>
        <mc:AlternateContent xmlns:mc="http://schemas.openxmlformats.org/markup-compatibility/2006">
          <mc:Choice Requires="x14">
            <control shapeId="5145" r:id="rId16" name="Drop Down 25">
              <controlPr defaultSize="0" autoLine="0" autoPict="0">
                <anchor moveWithCells="1">
                  <from>
                    <xdr:col>12</xdr:col>
                    <xdr:colOff>19050</xdr:colOff>
                    <xdr:row>32</xdr:row>
                    <xdr:rowOff>19050</xdr:rowOff>
                  </from>
                  <to>
                    <xdr:col>14</xdr:col>
                    <xdr:colOff>914400</xdr:colOff>
                    <xdr:row>33</xdr:row>
                    <xdr:rowOff>9525</xdr:rowOff>
                  </to>
                </anchor>
              </controlPr>
            </control>
          </mc:Choice>
        </mc:AlternateContent>
        <mc:AlternateContent xmlns:mc="http://schemas.openxmlformats.org/markup-compatibility/2006">
          <mc:Choice Requires="x14">
            <control shapeId="5146" r:id="rId17" name="Drop Down 26">
              <controlPr defaultSize="0" autoLine="0" autoPict="0">
                <anchor moveWithCells="1">
                  <from>
                    <xdr:col>12</xdr:col>
                    <xdr:colOff>19050</xdr:colOff>
                    <xdr:row>33</xdr:row>
                    <xdr:rowOff>19050</xdr:rowOff>
                  </from>
                  <to>
                    <xdr:col>14</xdr:col>
                    <xdr:colOff>914400</xdr:colOff>
                    <xdr:row>34</xdr:row>
                    <xdr:rowOff>9525</xdr:rowOff>
                  </to>
                </anchor>
              </controlPr>
            </control>
          </mc:Choice>
        </mc:AlternateContent>
        <mc:AlternateContent xmlns:mc="http://schemas.openxmlformats.org/markup-compatibility/2006">
          <mc:Choice Requires="x14">
            <control shapeId="5147" r:id="rId18" name="Drop Down 27">
              <controlPr defaultSize="0" autoLine="0" autoPict="0">
                <anchor moveWithCells="1">
                  <from>
                    <xdr:col>12</xdr:col>
                    <xdr:colOff>19050</xdr:colOff>
                    <xdr:row>34</xdr:row>
                    <xdr:rowOff>19050</xdr:rowOff>
                  </from>
                  <to>
                    <xdr:col>14</xdr:col>
                    <xdr:colOff>914400</xdr:colOff>
                    <xdr:row>35</xdr:row>
                    <xdr:rowOff>9525</xdr:rowOff>
                  </to>
                </anchor>
              </controlPr>
            </control>
          </mc:Choice>
        </mc:AlternateContent>
        <mc:AlternateContent xmlns:mc="http://schemas.openxmlformats.org/markup-compatibility/2006">
          <mc:Choice Requires="x14">
            <control shapeId="5148" r:id="rId19" name="Drop Down 28">
              <controlPr defaultSize="0" autoLine="0" autoPict="0">
                <anchor moveWithCells="1">
                  <from>
                    <xdr:col>12</xdr:col>
                    <xdr:colOff>19050</xdr:colOff>
                    <xdr:row>35</xdr:row>
                    <xdr:rowOff>19050</xdr:rowOff>
                  </from>
                  <to>
                    <xdr:col>14</xdr:col>
                    <xdr:colOff>914400</xdr:colOff>
                    <xdr:row>36</xdr:row>
                    <xdr:rowOff>9525</xdr:rowOff>
                  </to>
                </anchor>
              </controlPr>
            </control>
          </mc:Choice>
        </mc:AlternateContent>
        <mc:AlternateContent xmlns:mc="http://schemas.openxmlformats.org/markup-compatibility/2006">
          <mc:Choice Requires="x14">
            <control shapeId="5149" r:id="rId20" name="Drop Down 29">
              <controlPr defaultSize="0" autoLine="0" autoPict="0">
                <anchor moveWithCells="1">
                  <from>
                    <xdr:col>12</xdr:col>
                    <xdr:colOff>19050</xdr:colOff>
                    <xdr:row>36</xdr:row>
                    <xdr:rowOff>19050</xdr:rowOff>
                  </from>
                  <to>
                    <xdr:col>14</xdr:col>
                    <xdr:colOff>914400</xdr:colOff>
                    <xdr:row>37</xdr:row>
                    <xdr:rowOff>9525</xdr:rowOff>
                  </to>
                </anchor>
              </controlPr>
            </control>
          </mc:Choice>
        </mc:AlternateContent>
        <mc:AlternateContent xmlns:mc="http://schemas.openxmlformats.org/markup-compatibility/2006">
          <mc:Choice Requires="x14">
            <control shapeId="5150" r:id="rId21" name="Drop Down 30">
              <controlPr defaultSize="0" autoLine="0" autoPict="0">
                <anchor moveWithCells="1">
                  <from>
                    <xdr:col>12</xdr:col>
                    <xdr:colOff>19050</xdr:colOff>
                    <xdr:row>37</xdr:row>
                    <xdr:rowOff>19050</xdr:rowOff>
                  </from>
                  <to>
                    <xdr:col>14</xdr:col>
                    <xdr:colOff>914400</xdr:colOff>
                    <xdr:row>38</xdr:row>
                    <xdr:rowOff>9525</xdr:rowOff>
                  </to>
                </anchor>
              </controlPr>
            </control>
          </mc:Choice>
        </mc:AlternateContent>
        <mc:AlternateContent xmlns:mc="http://schemas.openxmlformats.org/markup-compatibility/2006">
          <mc:Choice Requires="x14">
            <control shapeId="5151" r:id="rId22" name="Drop Down 31">
              <controlPr defaultSize="0" autoLine="0" autoPict="0">
                <anchor moveWithCells="1">
                  <from>
                    <xdr:col>12</xdr:col>
                    <xdr:colOff>19050</xdr:colOff>
                    <xdr:row>38</xdr:row>
                    <xdr:rowOff>19050</xdr:rowOff>
                  </from>
                  <to>
                    <xdr:col>14</xdr:col>
                    <xdr:colOff>914400</xdr:colOff>
                    <xdr:row>39</xdr:row>
                    <xdr:rowOff>9525</xdr:rowOff>
                  </to>
                </anchor>
              </controlPr>
            </control>
          </mc:Choice>
        </mc:AlternateContent>
        <mc:AlternateContent xmlns:mc="http://schemas.openxmlformats.org/markup-compatibility/2006">
          <mc:Choice Requires="x14">
            <control shapeId="5152" r:id="rId23" name="Drop Down 32">
              <controlPr defaultSize="0" autoLine="0" autoPict="0">
                <anchor moveWithCells="1">
                  <from>
                    <xdr:col>12</xdr:col>
                    <xdr:colOff>19050</xdr:colOff>
                    <xdr:row>39</xdr:row>
                    <xdr:rowOff>19050</xdr:rowOff>
                  </from>
                  <to>
                    <xdr:col>14</xdr:col>
                    <xdr:colOff>914400</xdr:colOff>
                    <xdr:row>40</xdr:row>
                    <xdr:rowOff>9525</xdr:rowOff>
                  </to>
                </anchor>
              </controlPr>
            </control>
          </mc:Choice>
        </mc:AlternateContent>
        <mc:AlternateContent xmlns:mc="http://schemas.openxmlformats.org/markup-compatibility/2006">
          <mc:Choice Requires="x14">
            <control shapeId="5153" r:id="rId24" name="Drop Down 33">
              <controlPr defaultSize="0" autoLine="0" autoPict="0">
                <anchor moveWithCells="1">
                  <from>
                    <xdr:col>12</xdr:col>
                    <xdr:colOff>19050</xdr:colOff>
                    <xdr:row>40</xdr:row>
                    <xdr:rowOff>19050</xdr:rowOff>
                  </from>
                  <to>
                    <xdr:col>14</xdr:col>
                    <xdr:colOff>914400</xdr:colOff>
                    <xdr:row>41</xdr:row>
                    <xdr:rowOff>9525</xdr:rowOff>
                  </to>
                </anchor>
              </controlPr>
            </control>
          </mc:Choice>
        </mc:AlternateContent>
        <mc:AlternateContent xmlns:mc="http://schemas.openxmlformats.org/markup-compatibility/2006">
          <mc:Choice Requires="x14">
            <control shapeId="5154" r:id="rId25" name="Drop Down 34">
              <controlPr defaultSize="0" autoLine="0" autoPict="0">
                <anchor moveWithCells="1">
                  <from>
                    <xdr:col>12</xdr:col>
                    <xdr:colOff>19050</xdr:colOff>
                    <xdr:row>41</xdr:row>
                    <xdr:rowOff>19050</xdr:rowOff>
                  </from>
                  <to>
                    <xdr:col>14</xdr:col>
                    <xdr:colOff>914400</xdr:colOff>
                    <xdr:row>42</xdr:row>
                    <xdr:rowOff>9525</xdr:rowOff>
                  </to>
                </anchor>
              </controlPr>
            </control>
          </mc:Choice>
        </mc:AlternateContent>
        <mc:AlternateContent xmlns:mc="http://schemas.openxmlformats.org/markup-compatibility/2006">
          <mc:Choice Requires="x14">
            <control shapeId="5156" r:id="rId26" name="Drop Down 36">
              <controlPr defaultSize="0" autoLine="0" autoPict="0">
                <anchor moveWithCells="1">
                  <from>
                    <xdr:col>12</xdr:col>
                    <xdr:colOff>19050</xdr:colOff>
                    <xdr:row>42</xdr:row>
                    <xdr:rowOff>19050</xdr:rowOff>
                  </from>
                  <to>
                    <xdr:col>14</xdr:col>
                    <xdr:colOff>914400</xdr:colOff>
                    <xdr:row>43</xdr:row>
                    <xdr:rowOff>9525</xdr:rowOff>
                  </to>
                </anchor>
              </controlPr>
            </control>
          </mc:Choice>
        </mc:AlternateContent>
        <mc:AlternateContent xmlns:mc="http://schemas.openxmlformats.org/markup-compatibility/2006">
          <mc:Choice Requires="x14">
            <control shapeId="5157" r:id="rId27" name="Drop Down 37">
              <controlPr defaultSize="0" autoLine="0" autoPict="0">
                <anchor moveWithCells="1">
                  <from>
                    <xdr:col>12</xdr:col>
                    <xdr:colOff>19050</xdr:colOff>
                    <xdr:row>43</xdr:row>
                    <xdr:rowOff>19050</xdr:rowOff>
                  </from>
                  <to>
                    <xdr:col>14</xdr:col>
                    <xdr:colOff>914400</xdr:colOff>
                    <xdr:row>44</xdr:row>
                    <xdr:rowOff>9525</xdr:rowOff>
                  </to>
                </anchor>
              </controlPr>
            </control>
          </mc:Choice>
        </mc:AlternateContent>
        <mc:AlternateContent xmlns:mc="http://schemas.openxmlformats.org/markup-compatibility/2006">
          <mc:Choice Requires="x14">
            <control shapeId="5158" r:id="rId28" name="Drop Down 38">
              <controlPr defaultSize="0" autoLine="0" autoPict="0">
                <anchor moveWithCells="1">
                  <from>
                    <xdr:col>12</xdr:col>
                    <xdr:colOff>19050</xdr:colOff>
                    <xdr:row>44</xdr:row>
                    <xdr:rowOff>19050</xdr:rowOff>
                  </from>
                  <to>
                    <xdr:col>14</xdr:col>
                    <xdr:colOff>914400</xdr:colOff>
                    <xdr:row>45</xdr:row>
                    <xdr:rowOff>9525</xdr:rowOff>
                  </to>
                </anchor>
              </controlPr>
            </control>
          </mc:Choice>
        </mc:AlternateContent>
        <mc:AlternateContent xmlns:mc="http://schemas.openxmlformats.org/markup-compatibility/2006">
          <mc:Choice Requires="x14">
            <control shapeId="5159" r:id="rId29" name="Drop Down 39">
              <controlPr defaultSize="0" autoLine="0" autoPict="0">
                <anchor moveWithCells="1">
                  <from>
                    <xdr:col>12</xdr:col>
                    <xdr:colOff>19050</xdr:colOff>
                    <xdr:row>45</xdr:row>
                    <xdr:rowOff>19050</xdr:rowOff>
                  </from>
                  <to>
                    <xdr:col>14</xdr:col>
                    <xdr:colOff>914400</xdr:colOff>
                    <xdr:row>46</xdr:row>
                    <xdr:rowOff>9525</xdr:rowOff>
                  </to>
                </anchor>
              </controlPr>
            </control>
          </mc:Choice>
        </mc:AlternateContent>
        <mc:AlternateContent xmlns:mc="http://schemas.openxmlformats.org/markup-compatibility/2006">
          <mc:Choice Requires="x14">
            <control shapeId="5160" r:id="rId30" name="Drop Down 40">
              <controlPr defaultSize="0" autoLine="0" autoPict="0">
                <anchor moveWithCells="1">
                  <from>
                    <xdr:col>12</xdr:col>
                    <xdr:colOff>19050</xdr:colOff>
                    <xdr:row>46</xdr:row>
                    <xdr:rowOff>19050</xdr:rowOff>
                  </from>
                  <to>
                    <xdr:col>14</xdr:col>
                    <xdr:colOff>914400</xdr:colOff>
                    <xdr:row>47</xdr:row>
                    <xdr:rowOff>9525</xdr:rowOff>
                  </to>
                </anchor>
              </controlPr>
            </control>
          </mc:Choice>
        </mc:AlternateContent>
        <mc:AlternateContent xmlns:mc="http://schemas.openxmlformats.org/markup-compatibility/2006">
          <mc:Choice Requires="x14">
            <control shapeId="5161" r:id="rId31" name="Drop Down 41">
              <controlPr defaultSize="0" autoLine="0" autoPict="0">
                <anchor moveWithCells="1">
                  <from>
                    <xdr:col>12</xdr:col>
                    <xdr:colOff>19050</xdr:colOff>
                    <xdr:row>47</xdr:row>
                    <xdr:rowOff>19050</xdr:rowOff>
                  </from>
                  <to>
                    <xdr:col>14</xdr:col>
                    <xdr:colOff>914400</xdr:colOff>
                    <xdr:row>48</xdr:row>
                    <xdr:rowOff>9525</xdr:rowOff>
                  </to>
                </anchor>
              </controlPr>
            </control>
          </mc:Choice>
        </mc:AlternateContent>
        <mc:AlternateContent xmlns:mc="http://schemas.openxmlformats.org/markup-compatibility/2006">
          <mc:Choice Requires="x14">
            <control shapeId="5162" r:id="rId32" name="Drop Down 42">
              <controlPr defaultSize="0" autoLine="0" autoPict="0">
                <anchor moveWithCells="1">
                  <from>
                    <xdr:col>12</xdr:col>
                    <xdr:colOff>19050</xdr:colOff>
                    <xdr:row>48</xdr:row>
                    <xdr:rowOff>19050</xdr:rowOff>
                  </from>
                  <to>
                    <xdr:col>14</xdr:col>
                    <xdr:colOff>914400</xdr:colOff>
                    <xdr:row>49</xdr:row>
                    <xdr:rowOff>9525</xdr:rowOff>
                  </to>
                </anchor>
              </controlPr>
            </control>
          </mc:Choice>
        </mc:AlternateContent>
        <mc:AlternateContent xmlns:mc="http://schemas.openxmlformats.org/markup-compatibility/2006">
          <mc:Choice Requires="x14">
            <control shapeId="5163" r:id="rId33" name="Drop Down 43">
              <controlPr defaultSize="0" autoLine="0" autoPict="0">
                <anchor moveWithCells="1">
                  <from>
                    <xdr:col>12</xdr:col>
                    <xdr:colOff>19050</xdr:colOff>
                    <xdr:row>49</xdr:row>
                    <xdr:rowOff>19050</xdr:rowOff>
                  </from>
                  <to>
                    <xdr:col>14</xdr:col>
                    <xdr:colOff>914400</xdr:colOff>
                    <xdr:row>50</xdr:row>
                    <xdr:rowOff>9525</xdr:rowOff>
                  </to>
                </anchor>
              </controlPr>
            </control>
          </mc:Choice>
        </mc:AlternateContent>
        <mc:AlternateContent xmlns:mc="http://schemas.openxmlformats.org/markup-compatibility/2006">
          <mc:Choice Requires="x14">
            <control shapeId="5164" r:id="rId34" name="Drop Down 44">
              <controlPr defaultSize="0" autoLine="0" autoPict="0">
                <anchor moveWithCells="1">
                  <from>
                    <xdr:col>12</xdr:col>
                    <xdr:colOff>19050</xdr:colOff>
                    <xdr:row>50</xdr:row>
                    <xdr:rowOff>19050</xdr:rowOff>
                  </from>
                  <to>
                    <xdr:col>14</xdr:col>
                    <xdr:colOff>914400</xdr:colOff>
                    <xdr:row>51</xdr:row>
                    <xdr:rowOff>9525</xdr:rowOff>
                  </to>
                </anchor>
              </controlPr>
            </control>
          </mc:Choice>
        </mc:AlternateContent>
        <mc:AlternateContent xmlns:mc="http://schemas.openxmlformats.org/markup-compatibility/2006">
          <mc:Choice Requires="x14">
            <control shapeId="5165" r:id="rId35" name="Drop Down 45">
              <controlPr defaultSize="0" autoLine="0" autoPict="0">
                <anchor moveWithCells="1">
                  <from>
                    <xdr:col>12</xdr:col>
                    <xdr:colOff>19050</xdr:colOff>
                    <xdr:row>51</xdr:row>
                    <xdr:rowOff>19050</xdr:rowOff>
                  </from>
                  <to>
                    <xdr:col>14</xdr:col>
                    <xdr:colOff>914400</xdr:colOff>
                    <xdr:row>52</xdr:row>
                    <xdr:rowOff>9525</xdr:rowOff>
                  </to>
                </anchor>
              </controlPr>
            </control>
          </mc:Choice>
        </mc:AlternateContent>
        <mc:AlternateContent xmlns:mc="http://schemas.openxmlformats.org/markup-compatibility/2006">
          <mc:Choice Requires="x14">
            <control shapeId="5166" r:id="rId36" name="Drop Down 46">
              <controlPr defaultSize="0" autoLine="0" autoPict="0">
                <anchor moveWithCells="1">
                  <from>
                    <xdr:col>12</xdr:col>
                    <xdr:colOff>19050</xdr:colOff>
                    <xdr:row>52</xdr:row>
                    <xdr:rowOff>19050</xdr:rowOff>
                  </from>
                  <to>
                    <xdr:col>14</xdr:col>
                    <xdr:colOff>914400</xdr:colOff>
                    <xdr:row>53</xdr:row>
                    <xdr:rowOff>9525</xdr:rowOff>
                  </to>
                </anchor>
              </controlPr>
            </control>
          </mc:Choice>
        </mc:AlternateContent>
        <mc:AlternateContent xmlns:mc="http://schemas.openxmlformats.org/markup-compatibility/2006">
          <mc:Choice Requires="x14">
            <control shapeId="5167" r:id="rId37" name="Drop Down 47">
              <controlPr defaultSize="0" autoLine="0" autoPict="0">
                <anchor moveWithCells="1">
                  <from>
                    <xdr:col>12</xdr:col>
                    <xdr:colOff>19050</xdr:colOff>
                    <xdr:row>53</xdr:row>
                    <xdr:rowOff>19050</xdr:rowOff>
                  </from>
                  <to>
                    <xdr:col>14</xdr:col>
                    <xdr:colOff>914400</xdr:colOff>
                    <xdr:row>54</xdr:row>
                    <xdr:rowOff>9525</xdr:rowOff>
                  </to>
                </anchor>
              </controlPr>
            </control>
          </mc:Choice>
        </mc:AlternateContent>
        <mc:AlternateContent xmlns:mc="http://schemas.openxmlformats.org/markup-compatibility/2006">
          <mc:Choice Requires="x14">
            <control shapeId="5168" r:id="rId38" name="Drop Down 48">
              <controlPr defaultSize="0" autoLine="0" autoPict="0">
                <anchor moveWithCells="1">
                  <from>
                    <xdr:col>12</xdr:col>
                    <xdr:colOff>19050</xdr:colOff>
                    <xdr:row>54</xdr:row>
                    <xdr:rowOff>19050</xdr:rowOff>
                  </from>
                  <to>
                    <xdr:col>14</xdr:col>
                    <xdr:colOff>914400</xdr:colOff>
                    <xdr:row>55</xdr:row>
                    <xdr:rowOff>9525</xdr:rowOff>
                  </to>
                </anchor>
              </controlPr>
            </control>
          </mc:Choice>
        </mc:AlternateContent>
        <mc:AlternateContent xmlns:mc="http://schemas.openxmlformats.org/markup-compatibility/2006">
          <mc:Choice Requires="x14">
            <control shapeId="5169" r:id="rId39" name="Drop Down 49">
              <controlPr defaultSize="0" autoLine="0" autoPict="0">
                <anchor moveWithCells="1">
                  <from>
                    <xdr:col>12</xdr:col>
                    <xdr:colOff>19050</xdr:colOff>
                    <xdr:row>55</xdr:row>
                    <xdr:rowOff>19050</xdr:rowOff>
                  </from>
                  <to>
                    <xdr:col>14</xdr:col>
                    <xdr:colOff>914400</xdr:colOff>
                    <xdr:row>56</xdr:row>
                    <xdr:rowOff>9525</xdr:rowOff>
                  </to>
                </anchor>
              </controlPr>
            </control>
          </mc:Choice>
        </mc:AlternateContent>
        <mc:AlternateContent xmlns:mc="http://schemas.openxmlformats.org/markup-compatibility/2006">
          <mc:Choice Requires="x14">
            <control shapeId="5170" r:id="rId40" name="Drop Down 50">
              <controlPr defaultSize="0" autoLine="0" autoPict="0">
                <anchor moveWithCells="1">
                  <from>
                    <xdr:col>12</xdr:col>
                    <xdr:colOff>19050</xdr:colOff>
                    <xdr:row>56</xdr:row>
                    <xdr:rowOff>19050</xdr:rowOff>
                  </from>
                  <to>
                    <xdr:col>14</xdr:col>
                    <xdr:colOff>914400</xdr:colOff>
                    <xdr:row>57</xdr:row>
                    <xdr:rowOff>9525</xdr:rowOff>
                  </to>
                </anchor>
              </controlPr>
            </control>
          </mc:Choice>
        </mc:AlternateContent>
        <mc:AlternateContent xmlns:mc="http://schemas.openxmlformats.org/markup-compatibility/2006">
          <mc:Choice Requires="x14">
            <control shapeId="5171" r:id="rId41" name="Drop Down 51">
              <controlPr defaultSize="0" autoLine="0" autoPict="0">
                <anchor moveWithCells="1">
                  <from>
                    <xdr:col>12</xdr:col>
                    <xdr:colOff>19050</xdr:colOff>
                    <xdr:row>57</xdr:row>
                    <xdr:rowOff>19050</xdr:rowOff>
                  </from>
                  <to>
                    <xdr:col>14</xdr:col>
                    <xdr:colOff>914400</xdr:colOff>
                    <xdr:row>58</xdr:row>
                    <xdr:rowOff>9525</xdr:rowOff>
                  </to>
                </anchor>
              </controlPr>
            </control>
          </mc:Choice>
        </mc:AlternateContent>
        <mc:AlternateContent xmlns:mc="http://schemas.openxmlformats.org/markup-compatibility/2006">
          <mc:Choice Requires="x14">
            <control shapeId="5172" r:id="rId42" name="Drop Down 52">
              <controlPr defaultSize="0" autoLine="0" autoPict="0">
                <anchor moveWithCells="1">
                  <from>
                    <xdr:col>12</xdr:col>
                    <xdr:colOff>19050</xdr:colOff>
                    <xdr:row>58</xdr:row>
                    <xdr:rowOff>19050</xdr:rowOff>
                  </from>
                  <to>
                    <xdr:col>14</xdr:col>
                    <xdr:colOff>914400</xdr:colOff>
                    <xdr:row>59</xdr:row>
                    <xdr:rowOff>9525</xdr:rowOff>
                  </to>
                </anchor>
              </controlPr>
            </control>
          </mc:Choice>
        </mc:AlternateContent>
        <mc:AlternateContent xmlns:mc="http://schemas.openxmlformats.org/markup-compatibility/2006">
          <mc:Choice Requires="x14">
            <control shapeId="5173" r:id="rId43" name="Drop Down 53">
              <controlPr defaultSize="0" autoLine="0" autoPict="0">
                <anchor moveWithCells="1">
                  <from>
                    <xdr:col>12</xdr:col>
                    <xdr:colOff>19050</xdr:colOff>
                    <xdr:row>59</xdr:row>
                    <xdr:rowOff>19050</xdr:rowOff>
                  </from>
                  <to>
                    <xdr:col>14</xdr:col>
                    <xdr:colOff>914400</xdr:colOff>
                    <xdr:row>60</xdr:row>
                    <xdr:rowOff>9525</xdr:rowOff>
                  </to>
                </anchor>
              </controlPr>
            </control>
          </mc:Choice>
        </mc:AlternateContent>
        <mc:AlternateContent xmlns:mc="http://schemas.openxmlformats.org/markup-compatibility/2006">
          <mc:Choice Requires="x14">
            <control shapeId="5174" r:id="rId44" name="Drop Down 54">
              <controlPr defaultSize="0" autoLine="0" autoPict="0">
                <anchor moveWithCells="1">
                  <from>
                    <xdr:col>12</xdr:col>
                    <xdr:colOff>19050</xdr:colOff>
                    <xdr:row>60</xdr:row>
                    <xdr:rowOff>19050</xdr:rowOff>
                  </from>
                  <to>
                    <xdr:col>14</xdr:col>
                    <xdr:colOff>914400</xdr:colOff>
                    <xdr:row>61</xdr:row>
                    <xdr:rowOff>9525</xdr:rowOff>
                  </to>
                </anchor>
              </controlPr>
            </control>
          </mc:Choice>
        </mc:AlternateContent>
        <mc:AlternateContent xmlns:mc="http://schemas.openxmlformats.org/markup-compatibility/2006">
          <mc:Choice Requires="x14">
            <control shapeId="5175" r:id="rId45" name="Drop Down 55">
              <controlPr defaultSize="0" autoLine="0" autoPict="0">
                <anchor moveWithCells="1">
                  <from>
                    <xdr:col>12</xdr:col>
                    <xdr:colOff>19050</xdr:colOff>
                    <xdr:row>61</xdr:row>
                    <xdr:rowOff>19050</xdr:rowOff>
                  </from>
                  <to>
                    <xdr:col>14</xdr:col>
                    <xdr:colOff>914400</xdr:colOff>
                    <xdr:row>62</xdr:row>
                    <xdr:rowOff>9525</xdr:rowOff>
                  </to>
                </anchor>
              </controlPr>
            </control>
          </mc:Choice>
        </mc:AlternateContent>
        <mc:AlternateContent xmlns:mc="http://schemas.openxmlformats.org/markup-compatibility/2006">
          <mc:Choice Requires="x14">
            <control shapeId="5176" r:id="rId46" name="Drop Down 56">
              <controlPr defaultSize="0" autoLine="0" autoPict="0">
                <anchor moveWithCells="1">
                  <from>
                    <xdr:col>12</xdr:col>
                    <xdr:colOff>19050</xdr:colOff>
                    <xdr:row>62</xdr:row>
                    <xdr:rowOff>19050</xdr:rowOff>
                  </from>
                  <to>
                    <xdr:col>14</xdr:col>
                    <xdr:colOff>914400</xdr:colOff>
                    <xdr:row>63</xdr:row>
                    <xdr:rowOff>9525</xdr:rowOff>
                  </to>
                </anchor>
              </controlPr>
            </control>
          </mc:Choice>
        </mc:AlternateContent>
        <mc:AlternateContent xmlns:mc="http://schemas.openxmlformats.org/markup-compatibility/2006">
          <mc:Choice Requires="x14">
            <control shapeId="5177" r:id="rId47" name="Drop Down 57">
              <controlPr defaultSize="0" autoLine="0" autoPict="0">
                <anchor moveWithCells="1">
                  <from>
                    <xdr:col>12</xdr:col>
                    <xdr:colOff>19050</xdr:colOff>
                    <xdr:row>63</xdr:row>
                    <xdr:rowOff>19050</xdr:rowOff>
                  </from>
                  <to>
                    <xdr:col>14</xdr:col>
                    <xdr:colOff>914400</xdr:colOff>
                    <xdr:row>64</xdr:row>
                    <xdr:rowOff>9525</xdr:rowOff>
                  </to>
                </anchor>
              </controlPr>
            </control>
          </mc:Choice>
        </mc:AlternateContent>
        <mc:AlternateContent xmlns:mc="http://schemas.openxmlformats.org/markup-compatibility/2006">
          <mc:Choice Requires="x14">
            <control shapeId="5178" r:id="rId48" name="Drop Down 58">
              <controlPr defaultSize="0" autoLine="0" autoPict="0">
                <anchor moveWithCells="1">
                  <from>
                    <xdr:col>12</xdr:col>
                    <xdr:colOff>19050</xdr:colOff>
                    <xdr:row>64</xdr:row>
                    <xdr:rowOff>19050</xdr:rowOff>
                  </from>
                  <to>
                    <xdr:col>14</xdr:col>
                    <xdr:colOff>914400</xdr:colOff>
                    <xdr:row>65</xdr:row>
                    <xdr:rowOff>9525</xdr:rowOff>
                  </to>
                </anchor>
              </controlPr>
            </control>
          </mc:Choice>
        </mc:AlternateContent>
        <mc:AlternateContent xmlns:mc="http://schemas.openxmlformats.org/markup-compatibility/2006">
          <mc:Choice Requires="x14">
            <control shapeId="5179" r:id="rId49" name="Drop Down 59">
              <controlPr defaultSize="0" autoLine="0" autoPict="0">
                <anchor moveWithCells="1">
                  <from>
                    <xdr:col>12</xdr:col>
                    <xdr:colOff>19050</xdr:colOff>
                    <xdr:row>65</xdr:row>
                    <xdr:rowOff>19050</xdr:rowOff>
                  </from>
                  <to>
                    <xdr:col>14</xdr:col>
                    <xdr:colOff>914400</xdr:colOff>
                    <xdr:row>66</xdr:row>
                    <xdr:rowOff>9525</xdr:rowOff>
                  </to>
                </anchor>
              </controlPr>
            </control>
          </mc:Choice>
        </mc:AlternateContent>
        <mc:AlternateContent xmlns:mc="http://schemas.openxmlformats.org/markup-compatibility/2006">
          <mc:Choice Requires="x14">
            <control shapeId="5180" r:id="rId50" name="Drop Down 60">
              <controlPr defaultSize="0" autoLine="0" autoPict="0">
                <anchor moveWithCells="1">
                  <from>
                    <xdr:col>12</xdr:col>
                    <xdr:colOff>19050</xdr:colOff>
                    <xdr:row>66</xdr:row>
                    <xdr:rowOff>19050</xdr:rowOff>
                  </from>
                  <to>
                    <xdr:col>14</xdr:col>
                    <xdr:colOff>914400</xdr:colOff>
                    <xdr:row>67</xdr:row>
                    <xdr:rowOff>9525</xdr:rowOff>
                  </to>
                </anchor>
              </controlPr>
            </control>
          </mc:Choice>
        </mc:AlternateContent>
        <mc:AlternateContent xmlns:mc="http://schemas.openxmlformats.org/markup-compatibility/2006">
          <mc:Choice Requires="x14">
            <control shapeId="5181" r:id="rId51" name="Drop Down 61">
              <controlPr defaultSize="0" autoLine="0" autoPict="0">
                <anchor moveWithCells="1">
                  <from>
                    <xdr:col>12</xdr:col>
                    <xdr:colOff>19050</xdr:colOff>
                    <xdr:row>67</xdr:row>
                    <xdr:rowOff>19050</xdr:rowOff>
                  </from>
                  <to>
                    <xdr:col>14</xdr:col>
                    <xdr:colOff>914400</xdr:colOff>
                    <xdr:row>68</xdr:row>
                    <xdr:rowOff>9525</xdr:rowOff>
                  </to>
                </anchor>
              </controlPr>
            </control>
          </mc:Choice>
        </mc:AlternateContent>
        <mc:AlternateContent xmlns:mc="http://schemas.openxmlformats.org/markup-compatibility/2006">
          <mc:Choice Requires="x14">
            <control shapeId="5182" r:id="rId52" name="Drop Down 62">
              <controlPr defaultSize="0" autoLine="0" autoPict="0">
                <anchor moveWithCells="1">
                  <from>
                    <xdr:col>10</xdr:col>
                    <xdr:colOff>0</xdr:colOff>
                    <xdr:row>19</xdr:row>
                    <xdr:rowOff>9525</xdr:rowOff>
                  </from>
                  <to>
                    <xdr:col>11</xdr:col>
                    <xdr:colOff>85725</xdr:colOff>
                    <xdr:row>20</xdr:row>
                    <xdr:rowOff>9525</xdr:rowOff>
                  </to>
                </anchor>
              </controlPr>
            </control>
          </mc:Choice>
        </mc:AlternateContent>
        <mc:AlternateContent xmlns:mc="http://schemas.openxmlformats.org/markup-compatibility/2006">
          <mc:Choice Requires="x14">
            <control shapeId="5183" r:id="rId53" name="Drop Down 63">
              <controlPr defaultSize="0" autoLine="0" autoPict="0">
                <anchor moveWithCells="1">
                  <from>
                    <xdr:col>10</xdr:col>
                    <xdr:colOff>0</xdr:colOff>
                    <xdr:row>20</xdr:row>
                    <xdr:rowOff>9525</xdr:rowOff>
                  </from>
                  <to>
                    <xdr:col>11</xdr:col>
                    <xdr:colOff>85725</xdr:colOff>
                    <xdr:row>21</xdr:row>
                    <xdr:rowOff>9525</xdr:rowOff>
                  </to>
                </anchor>
              </controlPr>
            </control>
          </mc:Choice>
        </mc:AlternateContent>
        <mc:AlternateContent xmlns:mc="http://schemas.openxmlformats.org/markup-compatibility/2006">
          <mc:Choice Requires="x14">
            <control shapeId="5184" r:id="rId54" name="Drop Down 64">
              <controlPr defaultSize="0" autoLine="0" autoPict="0">
                <anchor moveWithCells="1">
                  <from>
                    <xdr:col>10</xdr:col>
                    <xdr:colOff>0</xdr:colOff>
                    <xdr:row>21</xdr:row>
                    <xdr:rowOff>9525</xdr:rowOff>
                  </from>
                  <to>
                    <xdr:col>11</xdr:col>
                    <xdr:colOff>85725</xdr:colOff>
                    <xdr:row>22</xdr:row>
                    <xdr:rowOff>9525</xdr:rowOff>
                  </to>
                </anchor>
              </controlPr>
            </control>
          </mc:Choice>
        </mc:AlternateContent>
        <mc:AlternateContent xmlns:mc="http://schemas.openxmlformats.org/markup-compatibility/2006">
          <mc:Choice Requires="x14">
            <control shapeId="5185" r:id="rId55" name="Drop Down 65">
              <controlPr defaultSize="0" autoLine="0" autoPict="0">
                <anchor moveWithCells="1">
                  <from>
                    <xdr:col>10</xdr:col>
                    <xdr:colOff>0</xdr:colOff>
                    <xdr:row>22</xdr:row>
                    <xdr:rowOff>9525</xdr:rowOff>
                  </from>
                  <to>
                    <xdr:col>11</xdr:col>
                    <xdr:colOff>85725</xdr:colOff>
                    <xdr:row>23</xdr:row>
                    <xdr:rowOff>9525</xdr:rowOff>
                  </to>
                </anchor>
              </controlPr>
            </control>
          </mc:Choice>
        </mc:AlternateContent>
        <mc:AlternateContent xmlns:mc="http://schemas.openxmlformats.org/markup-compatibility/2006">
          <mc:Choice Requires="x14">
            <control shapeId="5186" r:id="rId56" name="Drop Down 66">
              <controlPr defaultSize="0" autoLine="0" autoPict="0">
                <anchor moveWithCells="1">
                  <from>
                    <xdr:col>10</xdr:col>
                    <xdr:colOff>0</xdr:colOff>
                    <xdr:row>23</xdr:row>
                    <xdr:rowOff>9525</xdr:rowOff>
                  </from>
                  <to>
                    <xdr:col>11</xdr:col>
                    <xdr:colOff>85725</xdr:colOff>
                    <xdr:row>24</xdr:row>
                    <xdr:rowOff>9525</xdr:rowOff>
                  </to>
                </anchor>
              </controlPr>
            </control>
          </mc:Choice>
        </mc:AlternateContent>
        <mc:AlternateContent xmlns:mc="http://schemas.openxmlformats.org/markup-compatibility/2006">
          <mc:Choice Requires="x14">
            <control shapeId="5187" r:id="rId57" name="Drop Down 67">
              <controlPr defaultSize="0" autoLine="0" autoPict="0">
                <anchor moveWithCells="1">
                  <from>
                    <xdr:col>10</xdr:col>
                    <xdr:colOff>0</xdr:colOff>
                    <xdr:row>24</xdr:row>
                    <xdr:rowOff>9525</xdr:rowOff>
                  </from>
                  <to>
                    <xdr:col>11</xdr:col>
                    <xdr:colOff>85725</xdr:colOff>
                    <xdr:row>25</xdr:row>
                    <xdr:rowOff>9525</xdr:rowOff>
                  </to>
                </anchor>
              </controlPr>
            </control>
          </mc:Choice>
        </mc:AlternateContent>
        <mc:AlternateContent xmlns:mc="http://schemas.openxmlformats.org/markup-compatibility/2006">
          <mc:Choice Requires="x14">
            <control shapeId="5188" r:id="rId58" name="Drop Down 68">
              <controlPr defaultSize="0" autoLine="0" autoPict="0">
                <anchor moveWithCells="1">
                  <from>
                    <xdr:col>10</xdr:col>
                    <xdr:colOff>0</xdr:colOff>
                    <xdr:row>25</xdr:row>
                    <xdr:rowOff>9525</xdr:rowOff>
                  </from>
                  <to>
                    <xdr:col>11</xdr:col>
                    <xdr:colOff>85725</xdr:colOff>
                    <xdr:row>26</xdr:row>
                    <xdr:rowOff>9525</xdr:rowOff>
                  </to>
                </anchor>
              </controlPr>
            </control>
          </mc:Choice>
        </mc:AlternateContent>
        <mc:AlternateContent xmlns:mc="http://schemas.openxmlformats.org/markup-compatibility/2006">
          <mc:Choice Requires="x14">
            <control shapeId="5189" r:id="rId59" name="Drop Down 69">
              <controlPr defaultSize="0" autoLine="0" autoPict="0">
                <anchor moveWithCells="1">
                  <from>
                    <xdr:col>10</xdr:col>
                    <xdr:colOff>0</xdr:colOff>
                    <xdr:row>26</xdr:row>
                    <xdr:rowOff>9525</xdr:rowOff>
                  </from>
                  <to>
                    <xdr:col>11</xdr:col>
                    <xdr:colOff>85725</xdr:colOff>
                    <xdr:row>27</xdr:row>
                    <xdr:rowOff>9525</xdr:rowOff>
                  </to>
                </anchor>
              </controlPr>
            </control>
          </mc:Choice>
        </mc:AlternateContent>
        <mc:AlternateContent xmlns:mc="http://schemas.openxmlformats.org/markup-compatibility/2006">
          <mc:Choice Requires="x14">
            <control shapeId="5190" r:id="rId60" name="Drop Down 70">
              <controlPr defaultSize="0" autoLine="0" autoPict="0">
                <anchor moveWithCells="1">
                  <from>
                    <xdr:col>10</xdr:col>
                    <xdr:colOff>0</xdr:colOff>
                    <xdr:row>27</xdr:row>
                    <xdr:rowOff>9525</xdr:rowOff>
                  </from>
                  <to>
                    <xdr:col>11</xdr:col>
                    <xdr:colOff>85725</xdr:colOff>
                    <xdr:row>28</xdr:row>
                    <xdr:rowOff>9525</xdr:rowOff>
                  </to>
                </anchor>
              </controlPr>
            </control>
          </mc:Choice>
        </mc:AlternateContent>
        <mc:AlternateContent xmlns:mc="http://schemas.openxmlformats.org/markup-compatibility/2006">
          <mc:Choice Requires="x14">
            <control shapeId="5191" r:id="rId61" name="Drop Down 71">
              <controlPr defaultSize="0" autoLine="0" autoPict="0">
                <anchor moveWithCells="1">
                  <from>
                    <xdr:col>10</xdr:col>
                    <xdr:colOff>0</xdr:colOff>
                    <xdr:row>28</xdr:row>
                    <xdr:rowOff>9525</xdr:rowOff>
                  </from>
                  <to>
                    <xdr:col>11</xdr:col>
                    <xdr:colOff>85725</xdr:colOff>
                    <xdr:row>29</xdr:row>
                    <xdr:rowOff>9525</xdr:rowOff>
                  </to>
                </anchor>
              </controlPr>
            </control>
          </mc:Choice>
        </mc:AlternateContent>
        <mc:AlternateContent xmlns:mc="http://schemas.openxmlformats.org/markup-compatibility/2006">
          <mc:Choice Requires="x14">
            <control shapeId="5192" r:id="rId62" name="Drop Down 72">
              <controlPr defaultSize="0" autoLine="0" autoPict="0">
                <anchor moveWithCells="1">
                  <from>
                    <xdr:col>10</xdr:col>
                    <xdr:colOff>0</xdr:colOff>
                    <xdr:row>29</xdr:row>
                    <xdr:rowOff>9525</xdr:rowOff>
                  </from>
                  <to>
                    <xdr:col>11</xdr:col>
                    <xdr:colOff>85725</xdr:colOff>
                    <xdr:row>30</xdr:row>
                    <xdr:rowOff>9525</xdr:rowOff>
                  </to>
                </anchor>
              </controlPr>
            </control>
          </mc:Choice>
        </mc:AlternateContent>
        <mc:AlternateContent xmlns:mc="http://schemas.openxmlformats.org/markup-compatibility/2006">
          <mc:Choice Requires="x14">
            <control shapeId="5193" r:id="rId63" name="Drop Down 73">
              <controlPr defaultSize="0" autoLine="0" autoPict="0">
                <anchor moveWithCells="1">
                  <from>
                    <xdr:col>10</xdr:col>
                    <xdr:colOff>0</xdr:colOff>
                    <xdr:row>30</xdr:row>
                    <xdr:rowOff>9525</xdr:rowOff>
                  </from>
                  <to>
                    <xdr:col>11</xdr:col>
                    <xdr:colOff>85725</xdr:colOff>
                    <xdr:row>31</xdr:row>
                    <xdr:rowOff>9525</xdr:rowOff>
                  </to>
                </anchor>
              </controlPr>
            </control>
          </mc:Choice>
        </mc:AlternateContent>
        <mc:AlternateContent xmlns:mc="http://schemas.openxmlformats.org/markup-compatibility/2006">
          <mc:Choice Requires="x14">
            <control shapeId="5194" r:id="rId64" name="Drop Down 74">
              <controlPr defaultSize="0" autoLine="0" autoPict="0">
                <anchor moveWithCells="1">
                  <from>
                    <xdr:col>10</xdr:col>
                    <xdr:colOff>0</xdr:colOff>
                    <xdr:row>31</xdr:row>
                    <xdr:rowOff>9525</xdr:rowOff>
                  </from>
                  <to>
                    <xdr:col>11</xdr:col>
                    <xdr:colOff>85725</xdr:colOff>
                    <xdr:row>32</xdr:row>
                    <xdr:rowOff>9525</xdr:rowOff>
                  </to>
                </anchor>
              </controlPr>
            </control>
          </mc:Choice>
        </mc:AlternateContent>
        <mc:AlternateContent xmlns:mc="http://schemas.openxmlformats.org/markup-compatibility/2006">
          <mc:Choice Requires="x14">
            <control shapeId="5195" r:id="rId65" name="Drop Down 75">
              <controlPr defaultSize="0" autoLine="0" autoPict="0">
                <anchor moveWithCells="1">
                  <from>
                    <xdr:col>10</xdr:col>
                    <xdr:colOff>0</xdr:colOff>
                    <xdr:row>32</xdr:row>
                    <xdr:rowOff>9525</xdr:rowOff>
                  </from>
                  <to>
                    <xdr:col>11</xdr:col>
                    <xdr:colOff>85725</xdr:colOff>
                    <xdr:row>33</xdr:row>
                    <xdr:rowOff>9525</xdr:rowOff>
                  </to>
                </anchor>
              </controlPr>
            </control>
          </mc:Choice>
        </mc:AlternateContent>
        <mc:AlternateContent xmlns:mc="http://schemas.openxmlformats.org/markup-compatibility/2006">
          <mc:Choice Requires="x14">
            <control shapeId="5196" r:id="rId66" name="Drop Down 76">
              <controlPr defaultSize="0" autoLine="0" autoPict="0">
                <anchor moveWithCells="1">
                  <from>
                    <xdr:col>10</xdr:col>
                    <xdr:colOff>0</xdr:colOff>
                    <xdr:row>33</xdr:row>
                    <xdr:rowOff>9525</xdr:rowOff>
                  </from>
                  <to>
                    <xdr:col>11</xdr:col>
                    <xdr:colOff>85725</xdr:colOff>
                    <xdr:row>34</xdr:row>
                    <xdr:rowOff>9525</xdr:rowOff>
                  </to>
                </anchor>
              </controlPr>
            </control>
          </mc:Choice>
        </mc:AlternateContent>
        <mc:AlternateContent xmlns:mc="http://schemas.openxmlformats.org/markup-compatibility/2006">
          <mc:Choice Requires="x14">
            <control shapeId="5197" r:id="rId67" name="Drop Down 77">
              <controlPr defaultSize="0" autoLine="0" autoPict="0">
                <anchor moveWithCells="1">
                  <from>
                    <xdr:col>10</xdr:col>
                    <xdr:colOff>0</xdr:colOff>
                    <xdr:row>34</xdr:row>
                    <xdr:rowOff>9525</xdr:rowOff>
                  </from>
                  <to>
                    <xdr:col>11</xdr:col>
                    <xdr:colOff>85725</xdr:colOff>
                    <xdr:row>35</xdr:row>
                    <xdr:rowOff>9525</xdr:rowOff>
                  </to>
                </anchor>
              </controlPr>
            </control>
          </mc:Choice>
        </mc:AlternateContent>
        <mc:AlternateContent xmlns:mc="http://schemas.openxmlformats.org/markup-compatibility/2006">
          <mc:Choice Requires="x14">
            <control shapeId="5198" r:id="rId68" name="Drop Down 78">
              <controlPr defaultSize="0" autoLine="0" autoPict="0">
                <anchor moveWithCells="1">
                  <from>
                    <xdr:col>10</xdr:col>
                    <xdr:colOff>0</xdr:colOff>
                    <xdr:row>35</xdr:row>
                    <xdr:rowOff>9525</xdr:rowOff>
                  </from>
                  <to>
                    <xdr:col>11</xdr:col>
                    <xdr:colOff>85725</xdr:colOff>
                    <xdr:row>36</xdr:row>
                    <xdr:rowOff>9525</xdr:rowOff>
                  </to>
                </anchor>
              </controlPr>
            </control>
          </mc:Choice>
        </mc:AlternateContent>
        <mc:AlternateContent xmlns:mc="http://schemas.openxmlformats.org/markup-compatibility/2006">
          <mc:Choice Requires="x14">
            <control shapeId="5199" r:id="rId69" name="Drop Down 79">
              <controlPr defaultSize="0" autoLine="0" autoPict="0">
                <anchor moveWithCells="1">
                  <from>
                    <xdr:col>10</xdr:col>
                    <xdr:colOff>0</xdr:colOff>
                    <xdr:row>36</xdr:row>
                    <xdr:rowOff>9525</xdr:rowOff>
                  </from>
                  <to>
                    <xdr:col>11</xdr:col>
                    <xdr:colOff>85725</xdr:colOff>
                    <xdr:row>37</xdr:row>
                    <xdr:rowOff>9525</xdr:rowOff>
                  </to>
                </anchor>
              </controlPr>
            </control>
          </mc:Choice>
        </mc:AlternateContent>
        <mc:AlternateContent xmlns:mc="http://schemas.openxmlformats.org/markup-compatibility/2006">
          <mc:Choice Requires="x14">
            <control shapeId="5200" r:id="rId70" name="Drop Down 80">
              <controlPr defaultSize="0" autoLine="0" autoPict="0">
                <anchor moveWithCells="1">
                  <from>
                    <xdr:col>10</xdr:col>
                    <xdr:colOff>0</xdr:colOff>
                    <xdr:row>37</xdr:row>
                    <xdr:rowOff>9525</xdr:rowOff>
                  </from>
                  <to>
                    <xdr:col>11</xdr:col>
                    <xdr:colOff>85725</xdr:colOff>
                    <xdr:row>38</xdr:row>
                    <xdr:rowOff>9525</xdr:rowOff>
                  </to>
                </anchor>
              </controlPr>
            </control>
          </mc:Choice>
        </mc:AlternateContent>
        <mc:AlternateContent xmlns:mc="http://schemas.openxmlformats.org/markup-compatibility/2006">
          <mc:Choice Requires="x14">
            <control shapeId="5201" r:id="rId71" name="Drop Down 81">
              <controlPr defaultSize="0" autoLine="0" autoPict="0">
                <anchor moveWithCells="1">
                  <from>
                    <xdr:col>10</xdr:col>
                    <xdr:colOff>0</xdr:colOff>
                    <xdr:row>38</xdr:row>
                    <xdr:rowOff>9525</xdr:rowOff>
                  </from>
                  <to>
                    <xdr:col>11</xdr:col>
                    <xdr:colOff>85725</xdr:colOff>
                    <xdr:row>39</xdr:row>
                    <xdr:rowOff>9525</xdr:rowOff>
                  </to>
                </anchor>
              </controlPr>
            </control>
          </mc:Choice>
        </mc:AlternateContent>
        <mc:AlternateContent xmlns:mc="http://schemas.openxmlformats.org/markup-compatibility/2006">
          <mc:Choice Requires="x14">
            <control shapeId="5202" r:id="rId72" name="Drop Down 82">
              <controlPr defaultSize="0" autoLine="0" autoPict="0">
                <anchor moveWithCells="1">
                  <from>
                    <xdr:col>10</xdr:col>
                    <xdr:colOff>0</xdr:colOff>
                    <xdr:row>39</xdr:row>
                    <xdr:rowOff>9525</xdr:rowOff>
                  </from>
                  <to>
                    <xdr:col>11</xdr:col>
                    <xdr:colOff>85725</xdr:colOff>
                    <xdr:row>40</xdr:row>
                    <xdr:rowOff>9525</xdr:rowOff>
                  </to>
                </anchor>
              </controlPr>
            </control>
          </mc:Choice>
        </mc:AlternateContent>
        <mc:AlternateContent xmlns:mc="http://schemas.openxmlformats.org/markup-compatibility/2006">
          <mc:Choice Requires="x14">
            <control shapeId="5203" r:id="rId73" name="Drop Down 83">
              <controlPr defaultSize="0" autoLine="0" autoPict="0">
                <anchor moveWithCells="1">
                  <from>
                    <xdr:col>10</xdr:col>
                    <xdr:colOff>0</xdr:colOff>
                    <xdr:row>40</xdr:row>
                    <xdr:rowOff>9525</xdr:rowOff>
                  </from>
                  <to>
                    <xdr:col>11</xdr:col>
                    <xdr:colOff>85725</xdr:colOff>
                    <xdr:row>41</xdr:row>
                    <xdr:rowOff>9525</xdr:rowOff>
                  </to>
                </anchor>
              </controlPr>
            </control>
          </mc:Choice>
        </mc:AlternateContent>
        <mc:AlternateContent xmlns:mc="http://schemas.openxmlformats.org/markup-compatibility/2006">
          <mc:Choice Requires="x14">
            <control shapeId="5204" r:id="rId74" name="Drop Down 84">
              <controlPr defaultSize="0" autoLine="0" autoPict="0">
                <anchor moveWithCells="1">
                  <from>
                    <xdr:col>10</xdr:col>
                    <xdr:colOff>0</xdr:colOff>
                    <xdr:row>41</xdr:row>
                    <xdr:rowOff>9525</xdr:rowOff>
                  </from>
                  <to>
                    <xdr:col>11</xdr:col>
                    <xdr:colOff>85725</xdr:colOff>
                    <xdr:row>42</xdr:row>
                    <xdr:rowOff>9525</xdr:rowOff>
                  </to>
                </anchor>
              </controlPr>
            </control>
          </mc:Choice>
        </mc:AlternateContent>
        <mc:AlternateContent xmlns:mc="http://schemas.openxmlformats.org/markup-compatibility/2006">
          <mc:Choice Requires="x14">
            <control shapeId="5205" r:id="rId75" name="Drop Down 85">
              <controlPr defaultSize="0" autoLine="0" autoPict="0">
                <anchor moveWithCells="1">
                  <from>
                    <xdr:col>10</xdr:col>
                    <xdr:colOff>0</xdr:colOff>
                    <xdr:row>42</xdr:row>
                    <xdr:rowOff>9525</xdr:rowOff>
                  </from>
                  <to>
                    <xdr:col>11</xdr:col>
                    <xdr:colOff>85725</xdr:colOff>
                    <xdr:row>43</xdr:row>
                    <xdr:rowOff>9525</xdr:rowOff>
                  </to>
                </anchor>
              </controlPr>
            </control>
          </mc:Choice>
        </mc:AlternateContent>
        <mc:AlternateContent xmlns:mc="http://schemas.openxmlformats.org/markup-compatibility/2006">
          <mc:Choice Requires="x14">
            <control shapeId="5206" r:id="rId76" name="Drop Down 86">
              <controlPr defaultSize="0" autoLine="0" autoPict="0">
                <anchor moveWithCells="1">
                  <from>
                    <xdr:col>10</xdr:col>
                    <xdr:colOff>0</xdr:colOff>
                    <xdr:row>43</xdr:row>
                    <xdr:rowOff>9525</xdr:rowOff>
                  </from>
                  <to>
                    <xdr:col>11</xdr:col>
                    <xdr:colOff>85725</xdr:colOff>
                    <xdr:row>44</xdr:row>
                    <xdr:rowOff>9525</xdr:rowOff>
                  </to>
                </anchor>
              </controlPr>
            </control>
          </mc:Choice>
        </mc:AlternateContent>
        <mc:AlternateContent xmlns:mc="http://schemas.openxmlformats.org/markup-compatibility/2006">
          <mc:Choice Requires="x14">
            <control shapeId="5207" r:id="rId77" name="Drop Down 87">
              <controlPr defaultSize="0" autoLine="0" autoPict="0">
                <anchor moveWithCells="1">
                  <from>
                    <xdr:col>10</xdr:col>
                    <xdr:colOff>0</xdr:colOff>
                    <xdr:row>44</xdr:row>
                    <xdr:rowOff>9525</xdr:rowOff>
                  </from>
                  <to>
                    <xdr:col>11</xdr:col>
                    <xdr:colOff>85725</xdr:colOff>
                    <xdr:row>45</xdr:row>
                    <xdr:rowOff>9525</xdr:rowOff>
                  </to>
                </anchor>
              </controlPr>
            </control>
          </mc:Choice>
        </mc:AlternateContent>
        <mc:AlternateContent xmlns:mc="http://schemas.openxmlformats.org/markup-compatibility/2006">
          <mc:Choice Requires="x14">
            <control shapeId="5208" r:id="rId78" name="Drop Down 88">
              <controlPr defaultSize="0" autoLine="0" autoPict="0">
                <anchor moveWithCells="1">
                  <from>
                    <xdr:col>10</xdr:col>
                    <xdr:colOff>0</xdr:colOff>
                    <xdr:row>45</xdr:row>
                    <xdr:rowOff>9525</xdr:rowOff>
                  </from>
                  <to>
                    <xdr:col>11</xdr:col>
                    <xdr:colOff>85725</xdr:colOff>
                    <xdr:row>46</xdr:row>
                    <xdr:rowOff>9525</xdr:rowOff>
                  </to>
                </anchor>
              </controlPr>
            </control>
          </mc:Choice>
        </mc:AlternateContent>
        <mc:AlternateContent xmlns:mc="http://schemas.openxmlformats.org/markup-compatibility/2006">
          <mc:Choice Requires="x14">
            <control shapeId="5209" r:id="rId79" name="Drop Down 89">
              <controlPr defaultSize="0" autoLine="0" autoPict="0">
                <anchor moveWithCells="1">
                  <from>
                    <xdr:col>10</xdr:col>
                    <xdr:colOff>0</xdr:colOff>
                    <xdr:row>46</xdr:row>
                    <xdr:rowOff>9525</xdr:rowOff>
                  </from>
                  <to>
                    <xdr:col>11</xdr:col>
                    <xdr:colOff>85725</xdr:colOff>
                    <xdr:row>47</xdr:row>
                    <xdr:rowOff>9525</xdr:rowOff>
                  </to>
                </anchor>
              </controlPr>
            </control>
          </mc:Choice>
        </mc:AlternateContent>
        <mc:AlternateContent xmlns:mc="http://schemas.openxmlformats.org/markup-compatibility/2006">
          <mc:Choice Requires="x14">
            <control shapeId="5210" r:id="rId80" name="Drop Down 90">
              <controlPr defaultSize="0" autoLine="0" autoPict="0">
                <anchor moveWithCells="1">
                  <from>
                    <xdr:col>10</xdr:col>
                    <xdr:colOff>0</xdr:colOff>
                    <xdr:row>47</xdr:row>
                    <xdr:rowOff>9525</xdr:rowOff>
                  </from>
                  <to>
                    <xdr:col>11</xdr:col>
                    <xdr:colOff>85725</xdr:colOff>
                    <xdr:row>48</xdr:row>
                    <xdr:rowOff>9525</xdr:rowOff>
                  </to>
                </anchor>
              </controlPr>
            </control>
          </mc:Choice>
        </mc:AlternateContent>
        <mc:AlternateContent xmlns:mc="http://schemas.openxmlformats.org/markup-compatibility/2006">
          <mc:Choice Requires="x14">
            <control shapeId="5211" r:id="rId81" name="Drop Down 91">
              <controlPr defaultSize="0" autoLine="0" autoPict="0">
                <anchor moveWithCells="1">
                  <from>
                    <xdr:col>10</xdr:col>
                    <xdr:colOff>0</xdr:colOff>
                    <xdr:row>48</xdr:row>
                    <xdr:rowOff>9525</xdr:rowOff>
                  </from>
                  <to>
                    <xdr:col>11</xdr:col>
                    <xdr:colOff>85725</xdr:colOff>
                    <xdr:row>49</xdr:row>
                    <xdr:rowOff>9525</xdr:rowOff>
                  </to>
                </anchor>
              </controlPr>
            </control>
          </mc:Choice>
        </mc:AlternateContent>
        <mc:AlternateContent xmlns:mc="http://schemas.openxmlformats.org/markup-compatibility/2006">
          <mc:Choice Requires="x14">
            <control shapeId="5212" r:id="rId82" name="Drop Down 92">
              <controlPr defaultSize="0" autoLine="0" autoPict="0">
                <anchor moveWithCells="1">
                  <from>
                    <xdr:col>10</xdr:col>
                    <xdr:colOff>0</xdr:colOff>
                    <xdr:row>49</xdr:row>
                    <xdr:rowOff>9525</xdr:rowOff>
                  </from>
                  <to>
                    <xdr:col>11</xdr:col>
                    <xdr:colOff>85725</xdr:colOff>
                    <xdr:row>50</xdr:row>
                    <xdr:rowOff>9525</xdr:rowOff>
                  </to>
                </anchor>
              </controlPr>
            </control>
          </mc:Choice>
        </mc:AlternateContent>
        <mc:AlternateContent xmlns:mc="http://schemas.openxmlformats.org/markup-compatibility/2006">
          <mc:Choice Requires="x14">
            <control shapeId="5213" r:id="rId83" name="Drop Down 93">
              <controlPr defaultSize="0" autoLine="0" autoPict="0">
                <anchor moveWithCells="1">
                  <from>
                    <xdr:col>10</xdr:col>
                    <xdr:colOff>0</xdr:colOff>
                    <xdr:row>50</xdr:row>
                    <xdr:rowOff>9525</xdr:rowOff>
                  </from>
                  <to>
                    <xdr:col>11</xdr:col>
                    <xdr:colOff>85725</xdr:colOff>
                    <xdr:row>51</xdr:row>
                    <xdr:rowOff>9525</xdr:rowOff>
                  </to>
                </anchor>
              </controlPr>
            </control>
          </mc:Choice>
        </mc:AlternateContent>
        <mc:AlternateContent xmlns:mc="http://schemas.openxmlformats.org/markup-compatibility/2006">
          <mc:Choice Requires="x14">
            <control shapeId="5214" r:id="rId84" name="Drop Down 94">
              <controlPr defaultSize="0" autoLine="0" autoPict="0">
                <anchor moveWithCells="1">
                  <from>
                    <xdr:col>10</xdr:col>
                    <xdr:colOff>0</xdr:colOff>
                    <xdr:row>51</xdr:row>
                    <xdr:rowOff>9525</xdr:rowOff>
                  </from>
                  <to>
                    <xdr:col>11</xdr:col>
                    <xdr:colOff>85725</xdr:colOff>
                    <xdr:row>52</xdr:row>
                    <xdr:rowOff>9525</xdr:rowOff>
                  </to>
                </anchor>
              </controlPr>
            </control>
          </mc:Choice>
        </mc:AlternateContent>
        <mc:AlternateContent xmlns:mc="http://schemas.openxmlformats.org/markup-compatibility/2006">
          <mc:Choice Requires="x14">
            <control shapeId="5215" r:id="rId85" name="Drop Down 95">
              <controlPr defaultSize="0" autoLine="0" autoPict="0">
                <anchor moveWithCells="1">
                  <from>
                    <xdr:col>10</xdr:col>
                    <xdr:colOff>0</xdr:colOff>
                    <xdr:row>52</xdr:row>
                    <xdr:rowOff>9525</xdr:rowOff>
                  </from>
                  <to>
                    <xdr:col>11</xdr:col>
                    <xdr:colOff>85725</xdr:colOff>
                    <xdr:row>53</xdr:row>
                    <xdr:rowOff>9525</xdr:rowOff>
                  </to>
                </anchor>
              </controlPr>
            </control>
          </mc:Choice>
        </mc:AlternateContent>
        <mc:AlternateContent xmlns:mc="http://schemas.openxmlformats.org/markup-compatibility/2006">
          <mc:Choice Requires="x14">
            <control shapeId="5216" r:id="rId86" name="Drop Down 96">
              <controlPr defaultSize="0" autoLine="0" autoPict="0">
                <anchor moveWithCells="1">
                  <from>
                    <xdr:col>10</xdr:col>
                    <xdr:colOff>0</xdr:colOff>
                    <xdr:row>53</xdr:row>
                    <xdr:rowOff>9525</xdr:rowOff>
                  </from>
                  <to>
                    <xdr:col>11</xdr:col>
                    <xdr:colOff>85725</xdr:colOff>
                    <xdr:row>54</xdr:row>
                    <xdr:rowOff>9525</xdr:rowOff>
                  </to>
                </anchor>
              </controlPr>
            </control>
          </mc:Choice>
        </mc:AlternateContent>
        <mc:AlternateContent xmlns:mc="http://schemas.openxmlformats.org/markup-compatibility/2006">
          <mc:Choice Requires="x14">
            <control shapeId="5217" r:id="rId87" name="Drop Down 97">
              <controlPr defaultSize="0" autoLine="0" autoPict="0">
                <anchor moveWithCells="1">
                  <from>
                    <xdr:col>10</xdr:col>
                    <xdr:colOff>0</xdr:colOff>
                    <xdr:row>54</xdr:row>
                    <xdr:rowOff>9525</xdr:rowOff>
                  </from>
                  <to>
                    <xdr:col>11</xdr:col>
                    <xdr:colOff>85725</xdr:colOff>
                    <xdr:row>55</xdr:row>
                    <xdr:rowOff>9525</xdr:rowOff>
                  </to>
                </anchor>
              </controlPr>
            </control>
          </mc:Choice>
        </mc:AlternateContent>
        <mc:AlternateContent xmlns:mc="http://schemas.openxmlformats.org/markup-compatibility/2006">
          <mc:Choice Requires="x14">
            <control shapeId="5218" r:id="rId88" name="Drop Down 98">
              <controlPr defaultSize="0" autoLine="0" autoPict="0">
                <anchor moveWithCells="1">
                  <from>
                    <xdr:col>10</xdr:col>
                    <xdr:colOff>0</xdr:colOff>
                    <xdr:row>55</xdr:row>
                    <xdr:rowOff>9525</xdr:rowOff>
                  </from>
                  <to>
                    <xdr:col>11</xdr:col>
                    <xdr:colOff>85725</xdr:colOff>
                    <xdr:row>56</xdr:row>
                    <xdr:rowOff>9525</xdr:rowOff>
                  </to>
                </anchor>
              </controlPr>
            </control>
          </mc:Choice>
        </mc:AlternateContent>
        <mc:AlternateContent xmlns:mc="http://schemas.openxmlformats.org/markup-compatibility/2006">
          <mc:Choice Requires="x14">
            <control shapeId="5219" r:id="rId89" name="Drop Down 99">
              <controlPr defaultSize="0" autoLine="0" autoPict="0">
                <anchor moveWithCells="1">
                  <from>
                    <xdr:col>10</xdr:col>
                    <xdr:colOff>0</xdr:colOff>
                    <xdr:row>56</xdr:row>
                    <xdr:rowOff>9525</xdr:rowOff>
                  </from>
                  <to>
                    <xdr:col>11</xdr:col>
                    <xdr:colOff>85725</xdr:colOff>
                    <xdr:row>57</xdr:row>
                    <xdr:rowOff>9525</xdr:rowOff>
                  </to>
                </anchor>
              </controlPr>
            </control>
          </mc:Choice>
        </mc:AlternateContent>
        <mc:AlternateContent xmlns:mc="http://schemas.openxmlformats.org/markup-compatibility/2006">
          <mc:Choice Requires="x14">
            <control shapeId="5220" r:id="rId90" name="Drop Down 100">
              <controlPr defaultSize="0" autoLine="0" autoPict="0">
                <anchor moveWithCells="1">
                  <from>
                    <xdr:col>10</xdr:col>
                    <xdr:colOff>0</xdr:colOff>
                    <xdr:row>57</xdr:row>
                    <xdr:rowOff>9525</xdr:rowOff>
                  </from>
                  <to>
                    <xdr:col>11</xdr:col>
                    <xdr:colOff>85725</xdr:colOff>
                    <xdr:row>58</xdr:row>
                    <xdr:rowOff>9525</xdr:rowOff>
                  </to>
                </anchor>
              </controlPr>
            </control>
          </mc:Choice>
        </mc:AlternateContent>
        <mc:AlternateContent xmlns:mc="http://schemas.openxmlformats.org/markup-compatibility/2006">
          <mc:Choice Requires="x14">
            <control shapeId="5221" r:id="rId91" name="Drop Down 101">
              <controlPr defaultSize="0" autoLine="0" autoPict="0">
                <anchor moveWithCells="1">
                  <from>
                    <xdr:col>10</xdr:col>
                    <xdr:colOff>0</xdr:colOff>
                    <xdr:row>58</xdr:row>
                    <xdr:rowOff>9525</xdr:rowOff>
                  </from>
                  <to>
                    <xdr:col>11</xdr:col>
                    <xdr:colOff>85725</xdr:colOff>
                    <xdr:row>59</xdr:row>
                    <xdr:rowOff>9525</xdr:rowOff>
                  </to>
                </anchor>
              </controlPr>
            </control>
          </mc:Choice>
        </mc:AlternateContent>
        <mc:AlternateContent xmlns:mc="http://schemas.openxmlformats.org/markup-compatibility/2006">
          <mc:Choice Requires="x14">
            <control shapeId="5222" r:id="rId92" name="Drop Down 102">
              <controlPr defaultSize="0" autoLine="0" autoPict="0">
                <anchor moveWithCells="1">
                  <from>
                    <xdr:col>10</xdr:col>
                    <xdr:colOff>0</xdr:colOff>
                    <xdr:row>59</xdr:row>
                    <xdr:rowOff>9525</xdr:rowOff>
                  </from>
                  <to>
                    <xdr:col>11</xdr:col>
                    <xdr:colOff>85725</xdr:colOff>
                    <xdr:row>60</xdr:row>
                    <xdr:rowOff>9525</xdr:rowOff>
                  </to>
                </anchor>
              </controlPr>
            </control>
          </mc:Choice>
        </mc:AlternateContent>
        <mc:AlternateContent xmlns:mc="http://schemas.openxmlformats.org/markup-compatibility/2006">
          <mc:Choice Requires="x14">
            <control shapeId="5223" r:id="rId93" name="Drop Down 103">
              <controlPr defaultSize="0" autoLine="0" autoPict="0">
                <anchor moveWithCells="1">
                  <from>
                    <xdr:col>10</xdr:col>
                    <xdr:colOff>0</xdr:colOff>
                    <xdr:row>60</xdr:row>
                    <xdr:rowOff>9525</xdr:rowOff>
                  </from>
                  <to>
                    <xdr:col>11</xdr:col>
                    <xdr:colOff>85725</xdr:colOff>
                    <xdr:row>61</xdr:row>
                    <xdr:rowOff>9525</xdr:rowOff>
                  </to>
                </anchor>
              </controlPr>
            </control>
          </mc:Choice>
        </mc:AlternateContent>
        <mc:AlternateContent xmlns:mc="http://schemas.openxmlformats.org/markup-compatibility/2006">
          <mc:Choice Requires="x14">
            <control shapeId="5224" r:id="rId94" name="Drop Down 104">
              <controlPr defaultSize="0" autoLine="0" autoPict="0">
                <anchor moveWithCells="1">
                  <from>
                    <xdr:col>10</xdr:col>
                    <xdr:colOff>0</xdr:colOff>
                    <xdr:row>61</xdr:row>
                    <xdr:rowOff>9525</xdr:rowOff>
                  </from>
                  <to>
                    <xdr:col>11</xdr:col>
                    <xdr:colOff>85725</xdr:colOff>
                    <xdr:row>62</xdr:row>
                    <xdr:rowOff>9525</xdr:rowOff>
                  </to>
                </anchor>
              </controlPr>
            </control>
          </mc:Choice>
        </mc:AlternateContent>
        <mc:AlternateContent xmlns:mc="http://schemas.openxmlformats.org/markup-compatibility/2006">
          <mc:Choice Requires="x14">
            <control shapeId="5225" r:id="rId95" name="Drop Down 105">
              <controlPr defaultSize="0" autoLine="0" autoPict="0">
                <anchor moveWithCells="1">
                  <from>
                    <xdr:col>10</xdr:col>
                    <xdr:colOff>0</xdr:colOff>
                    <xdr:row>62</xdr:row>
                    <xdr:rowOff>9525</xdr:rowOff>
                  </from>
                  <to>
                    <xdr:col>11</xdr:col>
                    <xdr:colOff>85725</xdr:colOff>
                    <xdr:row>63</xdr:row>
                    <xdr:rowOff>9525</xdr:rowOff>
                  </to>
                </anchor>
              </controlPr>
            </control>
          </mc:Choice>
        </mc:AlternateContent>
        <mc:AlternateContent xmlns:mc="http://schemas.openxmlformats.org/markup-compatibility/2006">
          <mc:Choice Requires="x14">
            <control shapeId="5226" r:id="rId96" name="Drop Down 106">
              <controlPr defaultSize="0" autoLine="0" autoPict="0">
                <anchor moveWithCells="1">
                  <from>
                    <xdr:col>10</xdr:col>
                    <xdr:colOff>0</xdr:colOff>
                    <xdr:row>63</xdr:row>
                    <xdr:rowOff>9525</xdr:rowOff>
                  </from>
                  <to>
                    <xdr:col>11</xdr:col>
                    <xdr:colOff>85725</xdr:colOff>
                    <xdr:row>64</xdr:row>
                    <xdr:rowOff>9525</xdr:rowOff>
                  </to>
                </anchor>
              </controlPr>
            </control>
          </mc:Choice>
        </mc:AlternateContent>
        <mc:AlternateContent xmlns:mc="http://schemas.openxmlformats.org/markup-compatibility/2006">
          <mc:Choice Requires="x14">
            <control shapeId="5227" r:id="rId97" name="Drop Down 107">
              <controlPr defaultSize="0" autoLine="0" autoPict="0">
                <anchor moveWithCells="1">
                  <from>
                    <xdr:col>10</xdr:col>
                    <xdr:colOff>0</xdr:colOff>
                    <xdr:row>64</xdr:row>
                    <xdr:rowOff>9525</xdr:rowOff>
                  </from>
                  <to>
                    <xdr:col>11</xdr:col>
                    <xdr:colOff>85725</xdr:colOff>
                    <xdr:row>65</xdr:row>
                    <xdr:rowOff>9525</xdr:rowOff>
                  </to>
                </anchor>
              </controlPr>
            </control>
          </mc:Choice>
        </mc:AlternateContent>
        <mc:AlternateContent xmlns:mc="http://schemas.openxmlformats.org/markup-compatibility/2006">
          <mc:Choice Requires="x14">
            <control shapeId="5228" r:id="rId98" name="Drop Down 108">
              <controlPr defaultSize="0" autoLine="0" autoPict="0">
                <anchor moveWithCells="1">
                  <from>
                    <xdr:col>10</xdr:col>
                    <xdr:colOff>0</xdr:colOff>
                    <xdr:row>65</xdr:row>
                    <xdr:rowOff>9525</xdr:rowOff>
                  </from>
                  <to>
                    <xdr:col>11</xdr:col>
                    <xdr:colOff>85725</xdr:colOff>
                    <xdr:row>66</xdr:row>
                    <xdr:rowOff>9525</xdr:rowOff>
                  </to>
                </anchor>
              </controlPr>
            </control>
          </mc:Choice>
        </mc:AlternateContent>
        <mc:AlternateContent xmlns:mc="http://schemas.openxmlformats.org/markup-compatibility/2006">
          <mc:Choice Requires="x14">
            <control shapeId="5229" r:id="rId99" name="Drop Down 109">
              <controlPr defaultSize="0" autoLine="0" autoPict="0">
                <anchor moveWithCells="1">
                  <from>
                    <xdr:col>10</xdr:col>
                    <xdr:colOff>0</xdr:colOff>
                    <xdr:row>66</xdr:row>
                    <xdr:rowOff>9525</xdr:rowOff>
                  </from>
                  <to>
                    <xdr:col>11</xdr:col>
                    <xdr:colOff>85725</xdr:colOff>
                    <xdr:row>67</xdr:row>
                    <xdr:rowOff>9525</xdr:rowOff>
                  </to>
                </anchor>
              </controlPr>
            </control>
          </mc:Choice>
        </mc:AlternateContent>
        <mc:AlternateContent xmlns:mc="http://schemas.openxmlformats.org/markup-compatibility/2006">
          <mc:Choice Requires="x14">
            <control shapeId="5230" r:id="rId100" name="Drop Down 110">
              <controlPr defaultSize="0" autoLine="0" autoPict="0">
                <anchor moveWithCells="1">
                  <from>
                    <xdr:col>10</xdr:col>
                    <xdr:colOff>0</xdr:colOff>
                    <xdr:row>67</xdr:row>
                    <xdr:rowOff>9525</xdr:rowOff>
                  </from>
                  <to>
                    <xdr:col>11</xdr:col>
                    <xdr:colOff>85725</xdr:colOff>
                    <xdr:row>68</xdr:row>
                    <xdr:rowOff>9525</xdr:rowOff>
                  </to>
                </anchor>
              </controlPr>
            </control>
          </mc:Choice>
        </mc:AlternateContent>
        <mc:AlternateContent xmlns:mc="http://schemas.openxmlformats.org/markup-compatibility/2006">
          <mc:Choice Requires="x14">
            <control shapeId="5231" r:id="rId101" name="Drop Down 111">
              <controlPr defaultSize="0" autoLine="0" autoPict="0">
                <anchor moveWithCells="1">
                  <from>
                    <xdr:col>12</xdr:col>
                    <xdr:colOff>19050</xdr:colOff>
                    <xdr:row>19</xdr:row>
                    <xdr:rowOff>19050</xdr:rowOff>
                  </from>
                  <to>
                    <xdr:col>14</xdr:col>
                    <xdr:colOff>914400</xdr:colOff>
                    <xdr:row>20</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custom" allowBlank="1" showInputMessage="1" showErrorMessage="1" errorTitle="Buchungsblatt ist voll!" error="Es können keine weiteren Kassenbelege mehr verarbeitet werden, da eines der Buchungsblätter (Aufwand oder Ertrag) keine weiteren Belege mehr verarbeiten kann. Bitte führen Sie die Abrechnung der Handkasse durch!">
          <x14:formula1>
            <xm:f>OR('Buchungsblatt Aufwand'!$A$31="",'Buchungsblatt Ertrag'!$A$31)</xm:f>
          </x14:formula1>
          <xm:sqref>B36:B68</xm:sqref>
        </x14:dataValidation>
        <x14:dataValidation type="custom" errorStyle="warning" allowBlank="1" showInputMessage="1" showErrorMessage="1" errorTitle="Vorsicht - wenige Buchungszeilen" error="In einem der Buchungsblätter (Aufwand oder Ertrag) stehen nur noch wenige Buchungszeilen zur Verfügung._x000a_Wir empfehlen Ihnen eine Abrechnung der Handkasse vorzunehmen.">
          <x14:formula1>
            <xm:f>OR('Buchungsblatt Aufwand'!$A$28="",'Buchungsblatt Ertrag'!$A$28)</xm:f>
          </x14:formula1>
          <xm:sqref>E33</xm:sqref>
        </x14:dataValidation>
        <x14:dataValidation type="custom" errorStyle="warning" allowBlank="1" showInputMessage="1" showErrorMessage="1" errorTitle="Vorsicht - wenige Buchungszeilen" error="In einem der Buchungsblätter (Aufwand oder Ertrag) stehen nur noch wenige Buchungszeilen zur Verfügung._x000a_Wir empfehlen Ihnen eine Abrechnung der Handkasse vorzunehmen.">
          <x14:formula1>
            <xm:f>OR('Buchungsblatt Aufwand'!$A$28="",'Buchungsblatt Ertrag'!$A$28)</xm:f>
          </x14:formula1>
          <xm:sqref>E34:E68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6" tint="-0.249977111117893"/>
    <pageSetUpPr fitToPage="1"/>
  </sheetPr>
  <dimension ref="A1:I22"/>
  <sheetViews>
    <sheetView showGridLines="0" workbookViewId="0">
      <selection activeCell="H6" sqref="H6"/>
    </sheetView>
  </sheetViews>
  <sheetFormatPr baseColWidth="10" defaultColWidth="11.42578125" defaultRowHeight="18.75" x14ac:dyDescent="0.3"/>
  <cols>
    <col min="1" max="1" width="4" style="134" customWidth="1"/>
    <col min="2" max="7" width="11.42578125" style="135"/>
    <col min="8" max="8" width="18.7109375" style="135" customWidth="1"/>
    <col min="9" max="16384" width="11.42578125" style="135"/>
  </cols>
  <sheetData>
    <row r="1" spans="1:9" ht="24.75" customHeight="1" x14ac:dyDescent="0.3">
      <c r="C1" s="241" t="s">
        <v>9</v>
      </c>
      <c r="D1" s="241"/>
      <c r="E1" s="241"/>
      <c r="F1" s="156"/>
      <c r="G1" s="242"/>
      <c r="H1" s="243"/>
    </row>
    <row r="2" spans="1:9" ht="11.25" customHeight="1" x14ac:dyDescent="0.3">
      <c r="C2" s="241"/>
      <c r="D2" s="241"/>
      <c r="E2" s="241"/>
      <c r="F2" s="156"/>
      <c r="G2" s="244" t="str">
        <f>IF(Kassenbuch!$K$2="","","RT "&amp;VLOOKUP(Kassenbuch!$K$2,RT!$A$2:$E$636,1,FALSE))</f>
        <v/>
      </c>
      <c r="H2" s="244"/>
      <c r="I2" s="136"/>
    </row>
    <row r="3" spans="1:9" ht="11.25" customHeight="1" x14ac:dyDescent="0.3">
      <c r="C3" s="241"/>
      <c r="D3" s="241"/>
      <c r="E3" s="241"/>
      <c r="F3" s="156"/>
      <c r="G3" s="244"/>
      <c r="H3" s="244"/>
      <c r="I3" s="137"/>
    </row>
    <row r="4" spans="1:9" ht="18.75" customHeight="1" x14ac:dyDescent="0.3">
      <c r="C4" s="245" t="str">
        <f>IF(Kassenbuch!$K$2="","",VLOOKUP(Kassenbuch!$K$2,RT!$A$2:$E$636,2,FALSE))</f>
        <v/>
      </c>
      <c r="D4" s="245"/>
      <c r="E4" s="245"/>
      <c r="F4" s="245"/>
      <c r="G4" s="245"/>
      <c r="H4" s="245"/>
      <c r="I4" s="137"/>
    </row>
    <row r="5" spans="1:9" ht="12.75" customHeight="1" x14ac:dyDescent="0.3">
      <c r="C5" s="137"/>
      <c r="D5" s="137"/>
      <c r="E5" s="137"/>
      <c r="G5" s="138"/>
      <c r="H5" s="138"/>
      <c r="I5" s="137"/>
    </row>
    <row r="6" spans="1:9" s="139" customFormat="1" ht="27" customHeight="1" x14ac:dyDescent="0.2">
      <c r="B6" s="140" t="s">
        <v>113</v>
      </c>
      <c r="G6" s="141" t="s">
        <v>118</v>
      </c>
      <c r="H6" s="216"/>
    </row>
    <row r="8" spans="1:9" s="167" customFormat="1" ht="23.25" customHeight="1" x14ac:dyDescent="0.3">
      <c r="A8" s="134"/>
      <c r="B8" s="164" t="s">
        <v>122</v>
      </c>
      <c r="C8" s="165"/>
      <c r="D8" s="165"/>
      <c r="E8" s="166"/>
      <c r="F8" s="165"/>
      <c r="G8" s="165"/>
      <c r="H8" s="165"/>
    </row>
    <row r="9" spans="1:9" ht="25.5" customHeight="1" x14ac:dyDescent="0.25">
      <c r="A9" s="142"/>
      <c r="B9" s="143" t="s">
        <v>102</v>
      </c>
      <c r="C9" s="143"/>
      <c r="D9" s="143"/>
      <c r="E9" s="143"/>
      <c r="F9" s="144" t="s">
        <v>104</v>
      </c>
      <c r="G9" s="143"/>
      <c r="H9" s="145"/>
    </row>
    <row r="10" spans="1:9" ht="27.75" customHeight="1" x14ac:dyDescent="0.3">
      <c r="A10" s="146"/>
      <c r="B10" s="147" t="s">
        <v>119</v>
      </c>
      <c r="C10" s="148" t="s">
        <v>0</v>
      </c>
      <c r="D10" s="148" t="s">
        <v>101</v>
      </c>
      <c r="E10" s="145"/>
      <c r="F10" s="149" t="s">
        <v>119</v>
      </c>
      <c r="G10" s="148" t="s">
        <v>0</v>
      </c>
      <c r="H10" s="148" t="s">
        <v>101</v>
      </c>
    </row>
    <row r="11" spans="1:9" ht="18.75" customHeight="1" x14ac:dyDescent="0.3">
      <c r="B11" s="217"/>
      <c r="C11" s="150">
        <v>500</v>
      </c>
      <c r="D11" s="150">
        <f t="shared" ref="D11:D17" si="0">B11*C11</f>
        <v>0</v>
      </c>
      <c r="E11" s="145"/>
      <c r="F11" s="217"/>
      <c r="G11" s="150">
        <v>2</v>
      </c>
      <c r="H11" s="150">
        <f t="shared" ref="H11:H18" si="1">F11*G11</f>
        <v>0</v>
      </c>
    </row>
    <row r="12" spans="1:9" ht="18.75" customHeight="1" x14ac:dyDescent="0.3">
      <c r="B12" s="217"/>
      <c r="C12" s="150">
        <v>200</v>
      </c>
      <c r="D12" s="150">
        <f t="shared" si="0"/>
        <v>0</v>
      </c>
      <c r="E12" s="145"/>
      <c r="F12" s="217"/>
      <c r="G12" s="151">
        <v>1</v>
      </c>
      <c r="H12" s="150">
        <f t="shared" si="1"/>
        <v>0</v>
      </c>
    </row>
    <row r="13" spans="1:9" ht="18.75" customHeight="1" x14ac:dyDescent="0.3">
      <c r="B13" s="217"/>
      <c r="C13" s="150">
        <v>100</v>
      </c>
      <c r="D13" s="150">
        <f t="shared" si="0"/>
        <v>0</v>
      </c>
      <c r="E13" s="145"/>
      <c r="F13" s="217"/>
      <c r="G13" s="151">
        <v>0.5</v>
      </c>
      <c r="H13" s="150">
        <f t="shared" si="1"/>
        <v>0</v>
      </c>
    </row>
    <row r="14" spans="1:9" ht="18.75" customHeight="1" x14ac:dyDescent="0.3">
      <c r="B14" s="217"/>
      <c r="C14" s="150">
        <v>50</v>
      </c>
      <c r="D14" s="150">
        <f t="shared" si="0"/>
        <v>0</v>
      </c>
      <c r="E14" s="145"/>
      <c r="F14" s="217"/>
      <c r="G14" s="151">
        <v>0.2</v>
      </c>
      <c r="H14" s="150">
        <f t="shared" si="1"/>
        <v>0</v>
      </c>
    </row>
    <row r="15" spans="1:9" ht="18.75" customHeight="1" x14ac:dyDescent="0.3">
      <c r="B15" s="217"/>
      <c r="C15" s="150">
        <v>20</v>
      </c>
      <c r="D15" s="150">
        <f t="shared" si="0"/>
        <v>0</v>
      </c>
      <c r="E15" s="145"/>
      <c r="F15" s="217"/>
      <c r="G15" s="151">
        <v>0.1</v>
      </c>
      <c r="H15" s="150">
        <f t="shared" si="1"/>
        <v>0</v>
      </c>
    </row>
    <row r="16" spans="1:9" ht="18.75" customHeight="1" x14ac:dyDescent="0.3">
      <c r="B16" s="217"/>
      <c r="C16" s="150">
        <v>10</v>
      </c>
      <c r="D16" s="150">
        <f t="shared" si="0"/>
        <v>0</v>
      </c>
      <c r="E16" s="145"/>
      <c r="F16" s="217"/>
      <c r="G16" s="151">
        <v>0.05</v>
      </c>
      <c r="H16" s="150">
        <f t="shared" si="1"/>
        <v>0</v>
      </c>
    </row>
    <row r="17" spans="1:8" ht="18.75" customHeight="1" x14ac:dyDescent="0.3">
      <c r="B17" s="217"/>
      <c r="C17" s="150">
        <v>5</v>
      </c>
      <c r="D17" s="150">
        <f t="shared" si="0"/>
        <v>0</v>
      </c>
      <c r="E17" s="152"/>
      <c r="F17" s="217"/>
      <c r="G17" s="151">
        <v>0.02</v>
      </c>
      <c r="H17" s="150">
        <f t="shared" si="1"/>
        <v>0</v>
      </c>
    </row>
    <row r="18" spans="1:8" ht="18.75" customHeight="1" x14ac:dyDescent="0.3">
      <c r="B18" s="145"/>
      <c r="C18" s="145"/>
      <c r="D18" s="145"/>
      <c r="E18" s="145"/>
      <c r="F18" s="217"/>
      <c r="G18" s="151">
        <v>0.01</v>
      </c>
      <c r="H18" s="150">
        <f t="shared" si="1"/>
        <v>0</v>
      </c>
    </row>
    <row r="19" spans="1:8" ht="24" customHeight="1" x14ac:dyDescent="0.3">
      <c r="B19" s="145"/>
      <c r="C19" s="145"/>
      <c r="D19" s="145"/>
      <c r="E19" s="145"/>
      <c r="F19" s="240" t="s">
        <v>120</v>
      </c>
      <c r="G19" s="240"/>
      <c r="H19" s="218"/>
    </row>
    <row r="20" spans="1:8" ht="24" customHeight="1" x14ac:dyDescent="0.3">
      <c r="B20" s="143" t="s">
        <v>103</v>
      </c>
      <c r="C20" s="143"/>
      <c r="D20" s="153">
        <f>SUM(D11:D19)</f>
        <v>0</v>
      </c>
      <c r="E20" s="154"/>
      <c r="F20" s="155"/>
      <c r="G20" s="144" t="s">
        <v>104</v>
      </c>
      <c r="H20" s="153">
        <f>SUM(H11:H19)</f>
        <v>0</v>
      </c>
    </row>
    <row r="21" spans="1:8" s="163" customFormat="1" ht="33.75" customHeight="1" thickBot="1" x14ac:dyDescent="0.3">
      <c r="A21" s="157"/>
      <c r="B21" s="158"/>
      <c r="C21" s="158"/>
      <c r="D21" s="158"/>
      <c r="E21" s="159"/>
      <c r="F21" s="160"/>
      <c r="G21" s="161" t="s">
        <v>121</v>
      </c>
      <c r="H21" s="162">
        <f>SUM(H20,D20)</f>
        <v>0</v>
      </c>
    </row>
    <row r="22" spans="1:8" ht="19.5" thickTop="1" x14ac:dyDescent="0.3"/>
  </sheetData>
  <sheetProtection algorithmName="SHA-512" hashValue="4VfdZMechopfQanx3AXtZGRA6iWG9FNlSS2YHcjDwXPaTOF3xeVSfXjGBQLpiptBFUhzeIg/WgANSnjT2klDTQ==" saltValue="nngY4sRGcwOr91DHco1fOA==" spinCount="100000" sheet="1" objects="1" scenarios="1" selectLockedCells="1"/>
  <mergeCells count="5">
    <mergeCell ref="F19:G19"/>
    <mergeCell ref="C1:E3"/>
    <mergeCell ref="G1:H1"/>
    <mergeCell ref="G2:H3"/>
    <mergeCell ref="C4:H4"/>
  </mergeCells>
  <pageMargins left="0.70866141732283472" right="0.70866141732283472" top="0.43307086614173229" bottom="0.39370078740157483" header="0.15748031496062992" footer="0.15748031496062992"/>
  <pageSetup paperSize="9" scale="97" orientation="portrait" blackAndWhite="1" r:id="rId1"/>
  <headerFooter>
    <oddFooter>&amp;L&amp;7Stand: &amp;D&amp;R&amp;7Datei: &amp;F</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theme="5" tint="0.39997558519241921"/>
    <pageSetUpPr fitToPage="1"/>
  </sheetPr>
  <dimension ref="A2:S64"/>
  <sheetViews>
    <sheetView showGridLines="0" zoomScaleNormal="100" workbookViewId="0">
      <selection activeCell="B10" sqref="B10:I10"/>
    </sheetView>
  </sheetViews>
  <sheetFormatPr baseColWidth="10" defaultColWidth="11.42578125" defaultRowHeight="12.75" x14ac:dyDescent="0.2"/>
  <cols>
    <col min="1" max="1" width="20.7109375" style="26" customWidth="1"/>
    <col min="2" max="3" width="8" style="26" customWidth="1"/>
    <col min="4" max="4" width="0.85546875" style="26" customWidth="1"/>
    <col min="5" max="6" width="8" style="26" customWidth="1"/>
    <col min="7" max="7" width="0.85546875" style="26" customWidth="1"/>
    <col min="8" max="9" width="8" style="26" customWidth="1"/>
    <col min="10" max="10" width="26.42578125" style="26" customWidth="1"/>
    <col min="11" max="11" width="2.7109375" style="26" customWidth="1"/>
    <col min="12" max="12" width="12.140625" style="26" hidden="1" customWidth="1"/>
    <col min="13" max="13" width="6.140625" style="26" hidden="1" customWidth="1"/>
    <col min="14" max="14" width="12.140625" style="26" hidden="1" customWidth="1"/>
    <col min="15" max="15" width="11.42578125" style="26" hidden="1" customWidth="1"/>
    <col min="16" max="16384" width="11.42578125" style="26"/>
  </cols>
  <sheetData>
    <row r="2" spans="1:19" ht="12.75" customHeight="1" x14ac:dyDescent="0.2">
      <c r="B2" s="262" t="s">
        <v>9</v>
      </c>
      <c r="C2" s="262"/>
      <c r="D2" s="262"/>
      <c r="E2" s="262"/>
      <c r="H2" s="24"/>
      <c r="I2" s="244" t="str">
        <f>IF(Kassenbuch!$K$2="","",VLOOKUP(Kassenbuch!$K$2,RT!$A$2:$E$636,5,FALSE))</f>
        <v/>
      </c>
      <c r="J2" s="244"/>
    </row>
    <row r="3" spans="1:19" ht="12.75" customHeight="1" x14ac:dyDescent="0.2">
      <c r="B3" s="262"/>
      <c r="C3" s="262"/>
      <c r="D3" s="262"/>
      <c r="E3" s="262"/>
      <c r="F3" s="24"/>
      <c r="G3" s="24"/>
      <c r="H3" s="24"/>
      <c r="I3" s="244"/>
      <c r="J3" s="244"/>
    </row>
    <row r="4" spans="1:19" ht="12.75" customHeight="1" x14ac:dyDescent="0.2">
      <c r="B4" s="262"/>
      <c r="C4" s="262"/>
      <c r="D4" s="262"/>
      <c r="E4" s="262"/>
      <c r="F4" s="24"/>
      <c r="G4" s="24"/>
      <c r="H4" s="24"/>
      <c r="I4" s="244"/>
      <c r="J4" s="244"/>
    </row>
    <row r="5" spans="1:19" ht="21.75" customHeight="1" x14ac:dyDescent="0.2">
      <c r="B5" s="245" t="str">
        <f>IF(Kassenbuch!$K$2="","",VLOOKUP(Kassenbuch!$K$2,RT!$A$2:$E$636,2,FALSE))</f>
        <v/>
      </c>
      <c r="C5" s="245"/>
      <c r="D5" s="245"/>
      <c r="E5" s="245"/>
      <c r="F5" s="245"/>
      <c r="G5" s="245"/>
      <c r="H5" s="245"/>
      <c r="I5" s="245"/>
      <c r="J5" s="245"/>
    </row>
    <row r="6" spans="1:19" s="27" customFormat="1" ht="10.5" customHeight="1" x14ac:dyDescent="0.2">
      <c r="C6" s="28"/>
      <c r="D6" s="28"/>
    </row>
    <row r="7" spans="1:19" s="29" customFormat="1" ht="30" customHeight="1" x14ac:dyDescent="0.2">
      <c r="B7" s="30" t="s">
        <v>32</v>
      </c>
      <c r="P7" s="26"/>
      <c r="Q7" s="26"/>
      <c r="R7" s="26"/>
      <c r="S7" s="26"/>
    </row>
    <row r="8" spans="1:19" s="32" customFormat="1" ht="29.25" customHeight="1" x14ac:dyDescent="0.2">
      <c r="A8" s="43"/>
      <c r="B8" s="263"/>
      <c r="C8" s="263"/>
      <c r="D8" s="263"/>
      <c r="E8" s="263"/>
      <c r="F8" s="263"/>
      <c r="G8" s="263"/>
      <c r="H8" s="263"/>
      <c r="I8" s="263"/>
      <c r="J8" s="31"/>
      <c r="P8" s="27"/>
      <c r="Q8" s="27"/>
      <c r="R8" s="27"/>
      <c r="S8" s="27"/>
    </row>
    <row r="9" spans="1:19" s="32" customFormat="1" ht="30" customHeight="1" x14ac:dyDescent="0.2">
      <c r="A9" s="33" t="s">
        <v>33</v>
      </c>
      <c r="B9" s="264" t="str">
        <f>IF(Kassenbuch!$K$2&lt;&gt;"","HK "&amp;VLOOKUP(Kassenbuch!$K$2,RT!$A$2:$G$636,4,FALSE),"")</f>
        <v/>
      </c>
      <c r="C9" s="264"/>
      <c r="D9" s="60"/>
      <c r="E9" s="265" t="str">
        <f>IF(Kassenbuch!$K$2&lt;&gt;"",VLOOKUP(Kassenbuch!$K$2,RT!$A$2:$G$636,3,FALSE),"")</f>
        <v/>
      </c>
      <c r="F9" s="265"/>
      <c r="G9" s="265"/>
      <c r="H9" s="265"/>
      <c r="I9" s="265"/>
      <c r="J9" s="265"/>
      <c r="P9" s="27"/>
      <c r="Q9" s="27"/>
      <c r="R9" s="27"/>
      <c r="S9" s="27"/>
    </row>
    <row r="10" spans="1:19" s="29" customFormat="1" ht="30" customHeight="1" x14ac:dyDescent="0.2">
      <c r="A10" s="35" t="s">
        <v>2</v>
      </c>
      <c r="B10" s="266"/>
      <c r="C10" s="266"/>
      <c r="D10" s="266"/>
      <c r="E10" s="266"/>
      <c r="F10" s="266"/>
      <c r="G10" s="266"/>
      <c r="H10" s="266"/>
      <c r="I10" s="266"/>
      <c r="J10" s="34"/>
      <c r="P10" s="26"/>
      <c r="Q10" s="26"/>
      <c r="R10" s="26"/>
      <c r="S10" s="26"/>
    </row>
    <row r="11" spans="1:19" s="29" customFormat="1" ht="25.5" customHeight="1" x14ac:dyDescent="0.25">
      <c r="A11" s="36" t="s">
        <v>1</v>
      </c>
      <c r="B11" s="25"/>
      <c r="C11" s="25"/>
      <c r="D11" s="267"/>
      <c r="E11" s="267"/>
      <c r="F11" s="25"/>
      <c r="G11" s="267"/>
      <c r="H11" s="267"/>
      <c r="I11" s="25"/>
      <c r="J11" s="37"/>
      <c r="K11" s="61"/>
      <c r="P11" s="26"/>
      <c r="Q11" s="26"/>
      <c r="R11" s="26"/>
      <c r="S11" s="26"/>
    </row>
    <row r="12" spans="1:19" s="29" customFormat="1" ht="4.5" customHeight="1" x14ac:dyDescent="0.2">
      <c r="A12" s="105"/>
      <c r="B12" s="106"/>
      <c r="C12" s="107"/>
      <c r="D12" s="108"/>
      <c r="E12" s="109"/>
      <c r="F12" s="107"/>
      <c r="G12" s="108"/>
      <c r="H12" s="109"/>
      <c r="I12" s="107"/>
      <c r="J12" s="110"/>
      <c r="K12" s="111"/>
      <c r="L12" s="112"/>
      <c r="M12" s="112"/>
      <c r="N12" s="112"/>
      <c r="O12" s="112"/>
      <c r="P12" s="26"/>
      <c r="Q12" s="26"/>
      <c r="R12" s="26"/>
      <c r="S12" s="26"/>
    </row>
    <row r="13" spans="1:19" s="29" customFormat="1" ht="14.25" customHeight="1" x14ac:dyDescent="0.2">
      <c r="A13" s="113"/>
      <c r="B13" s="114"/>
      <c r="C13" s="114"/>
      <c r="D13" s="114"/>
      <c r="E13" s="114"/>
      <c r="F13" s="114"/>
      <c r="G13" s="114"/>
      <c r="H13" s="114"/>
      <c r="I13" s="114"/>
      <c r="J13" s="115"/>
      <c r="K13" s="112"/>
      <c r="L13" s="112"/>
      <c r="M13" s="112"/>
      <c r="N13" s="112"/>
      <c r="O13" s="112"/>
      <c r="P13" s="26"/>
      <c r="Q13" s="26"/>
      <c r="R13" s="26"/>
      <c r="S13" s="26"/>
    </row>
    <row r="14" spans="1:19" s="29" customFormat="1" ht="40.5" customHeight="1" x14ac:dyDescent="0.2">
      <c r="A14" s="116" t="s">
        <v>89</v>
      </c>
      <c r="B14" s="117"/>
      <c r="C14" s="117"/>
      <c r="D14" s="117"/>
      <c r="E14" s="117"/>
      <c r="F14" s="117"/>
      <c r="G14" s="117"/>
      <c r="H14" s="117"/>
      <c r="I14" s="117"/>
      <c r="J14" s="117"/>
      <c r="K14" s="112"/>
      <c r="L14" s="112"/>
      <c r="M14" s="112"/>
      <c r="N14" s="112"/>
      <c r="O14" s="112"/>
      <c r="P14" s="26"/>
      <c r="Q14" s="26"/>
      <c r="R14" s="26"/>
      <c r="S14" s="26"/>
    </row>
    <row r="15" spans="1:19" s="38" customFormat="1" ht="25.5" customHeight="1" x14ac:dyDescent="0.2">
      <c r="A15" s="118" t="s">
        <v>0</v>
      </c>
      <c r="B15" s="256" t="s">
        <v>3</v>
      </c>
      <c r="C15" s="256"/>
      <c r="D15" s="119"/>
      <c r="E15" s="257" t="s">
        <v>85</v>
      </c>
      <c r="F15" s="258"/>
      <c r="G15" s="119"/>
      <c r="H15" s="259" t="s">
        <v>84</v>
      </c>
      <c r="I15" s="260"/>
      <c r="J15" s="261"/>
      <c r="K15" s="120"/>
      <c r="L15" s="255" t="s">
        <v>116</v>
      </c>
      <c r="M15" s="255"/>
      <c r="N15" s="255"/>
      <c r="O15" s="255"/>
      <c r="P15" s="62"/>
      <c r="Q15" s="62"/>
      <c r="R15" s="62"/>
      <c r="S15" s="62"/>
    </row>
    <row r="16" spans="1:19" s="38" customFormat="1" ht="25.5" customHeight="1" x14ac:dyDescent="0.2">
      <c r="A16" s="121" t="str">
        <f>IF(N16="","",SUMIF(Kassenbuch!$S$20:$S$68,$N16,Kassenbuch!$U$20:$U$68))</f>
        <v/>
      </c>
      <c r="B16" s="249" t="str">
        <f>IF(N16&lt;&gt;"",IF(O16=0,O16&amp;LEFT(N16,LEN(N16)-6),LEFT(N16,LEN(N16)-6)),"")</f>
        <v/>
      </c>
      <c r="C16" s="250"/>
      <c r="D16" s="46"/>
      <c r="E16" s="251" t="str">
        <f>IF(N16="","",VALUE(RIGHT($N16,6)))</f>
        <v/>
      </c>
      <c r="F16" s="250"/>
      <c r="G16" s="122"/>
      <c r="H16" s="246" t="str">
        <f t="shared" ref="H16:H31" si="0">IF(E16="","",VLOOKUP($E16,SaKoAufwandBuchungsblatt,3,FALSE))</f>
        <v/>
      </c>
      <c r="I16" s="246"/>
      <c r="J16" s="246"/>
      <c r="K16" s="120"/>
      <c r="L16" s="123" t="str">
        <f>IF(ISERROR(SMALL(Kassenbuch!$S$20:$S$68,1)),"",SMALL(Kassenbuch!$S$20:$S$68,1))</f>
        <v/>
      </c>
      <c r="M16" s="124" t="str">
        <f>IF(L16="","",COUNTIF(Kassenbuch!$S$20:$S$68,L16))</f>
        <v/>
      </c>
      <c r="N16" s="123" t="str">
        <f>IF(COUNTIF(M$16:M$64,"&gt;0")&lt;1,"",SMALL(L$16:L$64,SMALL(M$16:M$64,1)))</f>
        <v/>
      </c>
      <c r="O16" s="125" t="str">
        <f t="shared" ref="O16:O31" si="1">IF(N16&lt;&gt;"",VALUE(VLOOKUP(N16,Matrix,2,FALSE)),"")</f>
        <v/>
      </c>
      <c r="P16" s="62"/>
      <c r="Q16" s="62"/>
      <c r="R16" s="62"/>
      <c r="S16" s="62"/>
    </row>
    <row r="17" spans="1:19" s="38" customFormat="1" ht="25.5" customHeight="1" x14ac:dyDescent="0.2">
      <c r="A17" s="121" t="str">
        <f>IF(N17="","",SUMIF(Kassenbuch!$S$20:$S$68,$N17,Kassenbuch!$U$20:$U$68))</f>
        <v/>
      </c>
      <c r="B17" s="249" t="str">
        <f t="shared" ref="B17:B31" si="2">IF(N17&lt;&gt;"",IF(O17=0,O17&amp;LEFT(N17,LEN(N17)-6),LEFT(N17,LEN(N17)-6)),"")</f>
        <v/>
      </c>
      <c r="C17" s="250"/>
      <c r="D17" s="45"/>
      <c r="E17" s="251" t="str">
        <f t="shared" ref="E17:E31" si="3">IF(N17="","",VALUE(RIGHT($N17,6)))</f>
        <v/>
      </c>
      <c r="F17" s="250"/>
      <c r="G17" s="46"/>
      <c r="H17" s="246" t="str">
        <f t="shared" si="0"/>
        <v/>
      </c>
      <c r="I17" s="246"/>
      <c r="J17" s="246"/>
      <c r="K17" s="120"/>
      <c r="L17" s="123" t="str">
        <f>IF(ISERROR(SMALL(Kassenbuch!$S$20:$S$68,2)),"",SMALL(Kassenbuch!$S$20:$S$68,2))</f>
        <v/>
      </c>
      <c r="M17" s="124" t="str">
        <f>IF(OR(L17="",L17=L16),"",MAX(M$16:M16)+COUNTIF(Kassenbuch!$S$20:$S$68,L17))</f>
        <v/>
      </c>
      <c r="N17" s="123" t="str">
        <f>IF(COUNTIF(M$7:M$64,"&gt;0")&lt;2,"",SMALL(L$7:L$64,SMALL(M$7:M$64,2)))</f>
        <v/>
      </c>
      <c r="O17" s="125" t="str">
        <f t="shared" si="1"/>
        <v/>
      </c>
      <c r="P17" s="62"/>
      <c r="Q17" s="62"/>
      <c r="R17" s="62"/>
      <c r="S17" s="62"/>
    </row>
    <row r="18" spans="1:19" s="38" customFormat="1" ht="25.5" customHeight="1" x14ac:dyDescent="0.2">
      <c r="A18" s="121" t="str">
        <f>IF(N18="","",SUMIF(Kassenbuch!$S$20:$S$68,$N18,Kassenbuch!$U$20:$U$68))</f>
        <v/>
      </c>
      <c r="B18" s="249" t="str">
        <f t="shared" si="2"/>
        <v/>
      </c>
      <c r="C18" s="250"/>
      <c r="D18" s="45"/>
      <c r="E18" s="251" t="str">
        <f t="shared" si="3"/>
        <v/>
      </c>
      <c r="F18" s="250"/>
      <c r="G18" s="46"/>
      <c r="H18" s="246" t="str">
        <f t="shared" si="0"/>
        <v/>
      </c>
      <c r="I18" s="246"/>
      <c r="J18" s="246"/>
      <c r="K18" s="120"/>
      <c r="L18" s="123" t="str">
        <f>IF(ISERROR(SMALL(Kassenbuch!$S$20:$S$68,3)),"",SMALL(Kassenbuch!$S$20:$S$68,3))</f>
        <v/>
      </c>
      <c r="M18" s="124" t="str">
        <f>IF(OR(L18="",L18=L17),"",MAX(M$16:M17)+COUNTIF(Kassenbuch!$S$20:$S$68,L18))</f>
        <v/>
      </c>
      <c r="N18" s="123" t="str">
        <f>IF(COUNTIF(M$7:M$64,"&gt;0")&lt;3,"",SMALL(L$7:L$64,SMALL(M$7:M$64,3)))</f>
        <v/>
      </c>
      <c r="O18" s="125" t="str">
        <f t="shared" si="1"/>
        <v/>
      </c>
      <c r="P18" s="62"/>
      <c r="Q18" s="62"/>
      <c r="R18" s="62"/>
      <c r="S18" s="62"/>
    </row>
    <row r="19" spans="1:19" s="38" customFormat="1" ht="25.5" customHeight="1" x14ac:dyDescent="0.2">
      <c r="A19" s="121" t="str">
        <f>IF(N19="","",SUMIF(Kassenbuch!$S$20:$S$68,$N19,Kassenbuch!$U$20:$U$68))</f>
        <v/>
      </c>
      <c r="B19" s="249" t="str">
        <f t="shared" si="2"/>
        <v/>
      </c>
      <c r="C19" s="250"/>
      <c r="D19" s="45"/>
      <c r="E19" s="251" t="str">
        <f t="shared" si="3"/>
        <v/>
      </c>
      <c r="F19" s="250"/>
      <c r="G19" s="46"/>
      <c r="H19" s="246" t="str">
        <f t="shared" si="0"/>
        <v/>
      </c>
      <c r="I19" s="246"/>
      <c r="J19" s="246"/>
      <c r="K19" s="120"/>
      <c r="L19" s="123" t="str">
        <f>IF(ISERROR(SMALL(Kassenbuch!$S$20:$S$68,4)),"",SMALL(Kassenbuch!$S$20:$S$68,4))</f>
        <v/>
      </c>
      <c r="M19" s="124" t="str">
        <f>IF(OR(L19="",L19=L18),"",MAX(M$16:M18)+COUNTIF(Kassenbuch!$S$20:$S$68,L19))</f>
        <v/>
      </c>
      <c r="N19" s="123" t="str">
        <f>IF(COUNTIF(M$7:M$64,"&gt;0")&lt;4,"",SMALL(L$7:L$64,SMALL(M$7:M$64,4)))</f>
        <v/>
      </c>
      <c r="O19" s="125" t="str">
        <f t="shared" si="1"/>
        <v/>
      </c>
      <c r="P19" s="62"/>
      <c r="Q19" s="62"/>
      <c r="R19" s="62"/>
      <c r="S19" s="62"/>
    </row>
    <row r="20" spans="1:19" s="38" customFormat="1" ht="25.5" customHeight="1" x14ac:dyDescent="0.2">
      <c r="A20" s="121" t="str">
        <f>IF(N20="","",SUMIF(Kassenbuch!$S$20:$S$68,$N20,Kassenbuch!$U$20:$U$68))</f>
        <v/>
      </c>
      <c r="B20" s="249" t="str">
        <f t="shared" si="2"/>
        <v/>
      </c>
      <c r="C20" s="250"/>
      <c r="D20" s="45"/>
      <c r="E20" s="251" t="str">
        <f t="shared" si="3"/>
        <v/>
      </c>
      <c r="F20" s="250"/>
      <c r="G20" s="46"/>
      <c r="H20" s="246" t="str">
        <f t="shared" si="0"/>
        <v/>
      </c>
      <c r="I20" s="246"/>
      <c r="J20" s="246"/>
      <c r="K20" s="120"/>
      <c r="L20" s="123" t="str">
        <f>IF(ISERROR(SMALL(Kassenbuch!$S$20:$S$68,5)),"",SMALL(Kassenbuch!$S$20:$S$68,5))</f>
        <v/>
      </c>
      <c r="M20" s="124" t="str">
        <f>IF(OR(L20="",L20=L19),"",MAX(M$16:M19)+COUNTIF(Kassenbuch!$S$20:$S$68,L20))</f>
        <v/>
      </c>
      <c r="N20" s="123" t="str">
        <f>IF(COUNTIF(M$7:M$64,"&gt;0")&lt;5,"",SMALL(L$7:L$64,SMALL(M$7:M$64,5)))</f>
        <v/>
      </c>
      <c r="O20" s="125" t="str">
        <f t="shared" si="1"/>
        <v/>
      </c>
      <c r="P20" s="62"/>
      <c r="Q20" s="62"/>
      <c r="R20" s="62"/>
      <c r="S20" s="62"/>
    </row>
    <row r="21" spans="1:19" s="38" customFormat="1" ht="25.5" customHeight="1" x14ac:dyDescent="0.2">
      <c r="A21" s="121" t="str">
        <f>IF(N21="","",SUMIF(Kassenbuch!$S$20:$S$68,$N21,Kassenbuch!$U$20:$U$68))</f>
        <v/>
      </c>
      <c r="B21" s="249" t="str">
        <f t="shared" si="2"/>
        <v/>
      </c>
      <c r="C21" s="250"/>
      <c r="D21" s="45"/>
      <c r="E21" s="251" t="str">
        <f t="shared" si="3"/>
        <v/>
      </c>
      <c r="F21" s="250"/>
      <c r="G21" s="46"/>
      <c r="H21" s="246" t="str">
        <f t="shared" si="0"/>
        <v/>
      </c>
      <c r="I21" s="246"/>
      <c r="J21" s="246"/>
      <c r="K21" s="120"/>
      <c r="L21" s="123" t="str">
        <f>IF(ISERROR(SMALL(Kassenbuch!$S$20:$S$68,6)),"",SMALL(Kassenbuch!$S$20:$S$68,6))</f>
        <v/>
      </c>
      <c r="M21" s="124" t="str">
        <f>IF(OR(L21="",L21=L20),"",MAX(M$16:M20)+COUNTIF(Kassenbuch!$S$20:$S$68,L21))</f>
        <v/>
      </c>
      <c r="N21" s="123" t="str">
        <f>IF(COUNTIF(M$7:M$64,"&gt;0")&lt;6,"",SMALL(L$7:L$64,SMALL(M$7:M$64,6)))</f>
        <v/>
      </c>
      <c r="O21" s="125" t="str">
        <f t="shared" si="1"/>
        <v/>
      </c>
      <c r="P21" s="62"/>
      <c r="Q21" s="62"/>
      <c r="R21" s="62"/>
      <c r="S21" s="62"/>
    </row>
    <row r="22" spans="1:19" s="38" customFormat="1" ht="25.5" customHeight="1" x14ac:dyDescent="0.2">
      <c r="A22" s="121" t="str">
        <f>IF(N22="","",SUMIF(Kassenbuch!$S$20:$S$68,$N22,Kassenbuch!$U$20:$U$68))</f>
        <v/>
      </c>
      <c r="B22" s="249" t="str">
        <f t="shared" si="2"/>
        <v/>
      </c>
      <c r="C22" s="250"/>
      <c r="D22" s="45"/>
      <c r="E22" s="251" t="str">
        <f t="shared" si="3"/>
        <v/>
      </c>
      <c r="F22" s="250"/>
      <c r="G22" s="46"/>
      <c r="H22" s="246" t="str">
        <f t="shared" si="0"/>
        <v/>
      </c>
      <c r="I22" s="246"/>
      <c r="J22" s="246"/>
      <c r="K22" s="120"/>
      <c r="L22" s="123" t="str">
        <f>IF(ISERROR(SMALL(Kassenbuch!$S$20:$S$68,7)),"",SMALL(Kassenbuch!$S$20:$S$68,7))</f>
        <v/>
      </c>
      <c r="M22" s="124" t="str">
        <f>IF(OR(L22="",L22=L21),"",MAX(M$16:M21)+COUNTIF(Kassenbuch!$S$20:$S$68,L22))</f>
        <v/>
      </c>
      <c r="N22" s="123" t="str">
        <f>IF(COUNTIF(M$7:M$64,"&gt;0")&lt;7,"",SMALL(L$7:L$64,SMALL(M$7:M$64,7)))</f>
        <v/>
      </c>
      <c r="O22" s="125" t="str">
        <f t="shared" si="1"/>
        <v/>
      </c>
      <c r="P22" s="62"/>
      <c r="Q22" s="62"/>
      <c r="R22" s="62"/>
      <c r="S22" s="62"/>
    </row>
    <row r="23" spans="1:19" s="38" customFormat="1" ht="25.5" customHeight="1" x14ac:dyDescent="0.2">
      <c r="A23" s="121" t="str">
        <f>IF(N23="","",SUMIF(Kassenbuch!$S$20:$S$68,$N23,Kassenbuch!$U$20:$U$68))</f>
        <v/>
      </c>
      <c r="B23" s="249" t="str">
        <f t="shared" si="2"/>
        <v/>
      </c>
      <c r="C23" s="250"/>
      <c r="D23" s="45"/>
      <c r="E23" s="251" t="str">
        <f t="shared" si="3"/>
        <v/>
      </c>
      <c r="F23" s="250"/>
      <c r="G23" s="46"/>
      <c r="H23" s="246" t="str">
        <f t="shared" si="0"/>
        <v/>
      </c>
      <c r="I23" s="246"/>
      <c r="J23" s="246"/>
      <c r="K23" s="120"/>
      <c r="L23" s="123" t="str">
        <f>IF(ISERROR(SMALL(Kassenbuch!$S$20:$S$68,8)),"",SMALL(Kassenbuch!$S$20:$S$68,8))</f>
        <v/>
      </c>
      <c r="M23" s="124" t="str">
        <f>IF(OR(L23="",L23=L22),"",MAX(M$16:M22)+COUNTIF(Kassenbuch!$S$20:$S$68,L23))</f>
        <v/>
      </c>
      <c r="N23" s="123" t="str">
        <f>IF(COUNTIF(M$7:M$64,"&gt;0")&lt;8,"",SMALL(L$7:L$64,SMALL(M$7:M$64,8)))</f>
        <v/>
      </c>
      <c r="O23" s="125" t="str">
        <f t="shared" si="1"/>
        <v/>
      </c>
      <c r="P23" s="62"/>
      <c r="Q23" s="62"/>
      <c r="R23" s="62"/>
      <c r="S23" s="62"/>
    </row>
    <row r="24" spans="1:19" s="38" customFormat="1" ht="25.5" customHeight="1" x14ac:dyDescent="0.2">
      <c r="A24" s="121" t="str">
        <f>IF(N24="","",SUMIF(Kassenbuch!$S$20:$S$68,$N24,Kassenbuch!$U$20:$U$68))</f>
        <v/>
      </c>
      <c r="B24" s="249" t="str">
        <f t="shared" si="2"/>
        <v/>
      </c>
      <c r="C24" s="250"/>
      <c r="D24" s="45"/>
      <c r="E24" s="251" t="str">
        <f t="shared" si="3"/>
        <v/>
      </c>
      <c r="F24" s="250"/>
      <c r="G24" s="46"/>
      <c r="H24" s="246" t="str">
        <f t="shared" si="0"/>
        <v/>
      </c>
      <c r="I24" s="246"/>
      <c r="J24" s="246"/>
      <c r="K24" s="120"/>
      <c r="L24" s="123" t="str">
        <f>IF(ISERROR(SMALL(Kassenbuch!$S$20:$S$68,9)),"",SMALL(Kassenbuch!$S$20:$S$68,9))</f>
        <v/>
      </c>
      <c r="M24" s="124" t="str">
        <f>IF(OR(L24="",L24=L23),"",MAX(M$16:M23)+COUNTIF(Kassenbuch!$S$20:$S$68,L24))</f>
        <v/>
      </c>
      <c r="N24" s="123" t="str">
        <f>IF(COUNTIF(M$7:M$64,"&gt;0")&lt;9,"",SMALL(L$7:L$64,SMALL(M$7:M$64,9)))</f>
        <v/>
      </c>
      <c r="O24" s="125" t="str">
        <f t="shared" si="1"/>
        <v/>
      </c>
      <c r="P24" s="62"/>
      <c r="Q24" s="62"/>
      <c r="R24" s="62"/>
      <c r="S24" s="62"/>
    </row>
    <row r="25" spans="1:19" s="38" customFormat="1" ht="25.5" customHeight="1" x14ac:dyDescent="0.2">
      <c r="A25" s="121" t="str">
        <f>IF(N25="","",SUMIF(Kassenbuch!$S$20:$S$68,$N25,Kassenbuch!$U$20:$U$68))</f>
        <v/>
      </c>
      <c r="B25" s="249" t="str">
        <f t="shared" si="2"/>
        <v/>
      </c>
      <c r="C25" s="250"/>
      <c r="D25" s="45"/>
      <c r="E25" s="251" t="str">
        <f t="shared" si="3"/>
        <v/>
      </c>
      <c r="F25" s="250"/>
      <c r="G25" s="46"/>
      <c r="H25" s="246" t="str">
        <f t="shared" si="0"/>
        <v/>
      </c>
      <c r="I25" s="246"/>
      <c r="J25" s="246"/>
      <c r="K25" s="120"/>
      <c r="L25" s="123" t="str">
        <f>IF(ISERROR(SMALL(Kassenbuch!$S$20:$S$68,10)),"",SMALL(Kassenbuch!$S$20:$S$68,10))</f>
        <v/>
      </c>
      <c r="M25" s="124" t="str">
        <f>IF(OR(L25="",L25=L24),"",MAX(M$16:M24)+COUNTIF(Kassenbuch!$S$20:$S$68,L25))</f>
        <v/>
      </c>
      <c r="N25" s="123" t="str">
        <f>IF(COUNTIF(M$7:M$64,"&gt;0")&lt;10,"",SMALL(L$7:L$64,SMALL(M$7:M$64,10)))</f>
        <v/>
      </c>
      <c r="O25" s="125" t="str">
        <f t="shared" si="1"/>
        <v/>
      </c>
      <c r="P25" s="62"/>
      <c r="Q25" s="62"/>
      <c r="R25" s="62"/>
      <c r="S25" s="62"/>
    </row>
    <row r="26" spans="1:19" s="38" customFormat="1" ht="25.5" customHeight="1" x14ac:dyDescent="0.2">
      <c r="A26" s="121" t="str">
        <f>IF(N26="","",SUMIF(Kassenbuch!$S$20:$S$68,$N26,Kassenbuch!$U$20:$U$68))</f>
        <v/>
      </c>
      <c r="B26" s="249" t="str">
        <f t="shared" si="2"/>
        <v/>
      </c>
      <c r="C26" s="250"/>
      <c r="D26" s="45"/>
      <c r="E26" s="251" t="str">
        <f t="shared" si="3"/>
        <v/>
      </c>
      <c r="F26" s="250"/>
      <c r="G26" s="46"/>
      <c r="H26" s="246" t="str">
        <f t="shared" si="0"/>
        <v/>
      </c>
      <c r="I26" s="246"/>
      <c r="J26" s="246"/>
      <c r="K26" s="120"/>
      <c r="L26" s="123" t="str">
        <f>IF(ISERROR(SMALL(Kassenbuch!$S$20:$S$68,11)),"",SMALL(Kassenbuch!$S$20:$S$68,11))</f>
        <v/>
      </c>
      <c r="M26" s="124" t="str">
        <f>IF(OR(L26="",L26=L25),"",MAX(M$16:M25)+COUNTIF(Kassenbuch!$S$20:$S$68,L26))</f>
        <v/>
      </c>
      <c r="N26" s="123" t="str">
        <f>IF(COUNTIF(M$7:M$64,"&gt;0")&lt;11,"",SMALL(L$7:L$64,SMALL(M$7:M$64,11)))</f>
        <v/>
      </c>
      <c r="O26" s="125" t="str">
        <f t="shared" si="1"/>
        <v/>
      </c>
      <c r="P26" s="62"/>
      <c r="Q26" s="62"/>
      <c r="R26" s="62"/>
      <c r="S26" s="62"/>
    </row>
    <row r="27" spans="1:19" s="38" customFormat="1" ht="25.5" customHeight="1" x14ac:dyDescent="0.2">
      <c r="A27" s="121" t="str">
        <f>IF(N27="","",SUMIF(Kassenbuch!$S$20:$S$68,$N27,Kassenbuch!$U$20:$U$68))</f>
        <v/>
      </c>
      <c r="B27" s="249" t="str">
        <f t="shared" si="2"/>
        <v/>
      </c>
      <c r="C27" s="250"/>
      <c r="D27" s="45"/>
      <c r="E27" s="251" t="str">
        <f t="shared" si="3"/>
        <v/>
      </c>
      <c r="F27" s="250"/>
      <c r="G27" s="46"/>
      <c r="H27" s="246" t="str">
        <f t="shared" si="0"/>
        <v/>
      </c>
      <c r="I27" s="246"/>
      <c r="J27" s="246"/>
      <c r="K27" s="120"/>
      <c r="L27" s="123" t="str">
        <f>IF(ISERROR(SMALL(Kassenbuch!$S$20:$S$68,12)),"",SMALL(Kassenbuch!$S$20:$S$68,12))</f>
        <v/>
      </c>
      <c r="M27" s="124" t="str">
        <f>IF(OR(L27="",L27=L26),"",MAX(M$16:M26)+COUNTIF(Kassenbuch!$S$20:$S$68,L27))</f>
        <v/>
      </c>
      <c r="N27" s="123" t="str">
        <f>IF(COUNTIF(M$7:M$64,"&gt;0")&lt;12,"",SMALL(L$7:L$64,SMALL(M$7:M$64,12)))</f>
        <v/>
      </c>
      <c r="O27" s="125" t="str">
        <f t="shared" si="1"/>
        <v/>
      </c>
      <c r="P27" s="62"/>
      <c r="Q27" s="62"/>
      <c r="R27" s="62"/>
      <c r="S27" s="62"/>
    </row>
    <row r="28" spans="1:19" s="38" customFormat="1" ht="25.5" customHeight="1" x14ac:dyDescent="0.2">
      <c r="A28" s="121" t="str">
        <f>IF(N28="","",SUMIF(Kassenbuch!$S$20:$S$68,$N28,Kassenbuch!$U$20:$U$68))</f>
        <v/>
      </c>
      <c r="B28" s="249" t="str">
        <f t="shared" si="2"/>
        <v/>
      </c>
      <c r="C28" s="250"/>
      <c r="D28" s="45"/>
      <c r="E28" s="251" t="str">
        <f t="shared" si="3"/>
        <v/>
      </c>
      <c r="F28" s="250"/>
      <c r="G28" s="46"/>
      <c r="H28" s="246" t="str">
        <f t="shared" si="0"/>
        <v/>
      </c>
      <c r="I28" s="246"/>
      <c r="J28" s="246"/>
      <c r="K28" s="120"/>
      <c r="L28" s="123" t="str">
        <f>IF(ISERROR(SMALL(Kassenbuch!$S$20:$S$68,13)),"",SMALL(Kassenbuch!$S$20:$S$68,13))</f>
        <v/>
      </c>
      <c r="M28" s="124" t="str">
        <f>IF(OR(L28="",L28=L27),"",MAX(M$16:M27)+COUNTIF(Kassenbuch!$S$20:$S$68,L28))</f>
        <v/>
      </c>
      <c r="N28" s="123" t="str">
        <f>IF(COUNTIF(M$7:M$64,"&gt;0")&lt;13,"",SMALL(L$7:L$64,SMALL(M$7:M$64,13)))</f>
        <v/>
      </c>
      <c r="O28" s="125" t="str">
        <f t="shared" si="1"/>
        <v/>
      </c>
      <c r="P28" s="62"/>
      <c r="Q28" s="62"/>
      <c r="R28" s="62"/>
      <c r="S28" s="62"/>
    </row>
    <row r="29" spans="1:19" s="38" customFormat="1" ht="25.5" customHeight="1" x14ac:dyDescent="0.2">
      <c r="A29" s="121" t="str">
        <f>IF(N29="","",SUMIF(Kassenbuch!$S$20:$S$68,$N29,Kassenbuch!$U$20:$U$68))</f>
        <v/>
      </c>
      <c r="B29" s="249" t="str">
        <f t="shared" si="2"/>
        <v/>
      </c>
      <c r="C29" s="250"/>
      <c r="D29" s="45"/>
      <c r="E29" s="251" t="str">
        <f t="shared" si="3"/>
        <v/>
      </c>
      <c r="F29" s="250"/>
      <c r="G29" s="46"/>
      <c r="H29" s="246" t="str">
        <f t="shared" si="0"/>
        <v/>
      </c>
      <c r="I29" s="246"/>
      <c r="J29" s="246"/>
      <c r="K29" s="120"/>
      <c r="L29" s="123" t="str">
        <f>IF(ISERROR(SMALL(Kassenbuch!$S$20:$S$68,14)),"",SMALL(Kassenbuch!$S$20:$S$68,14))</f>
        <v/>
      </c>
      <c r="M29" s="124" t="str">
        <f>IF(OR(L29="",L29=L28),"",MAX(M$16:M28)+COUNTIF(Kassenbuch!$S$20:$S$68,L29))</f>
        <v/>
      </c>
      <c r="N29" s="123" t="str">
        <f>IF(COUNTIF(M$7:M$64,"&gt;0")&lt;14,"",SMALL(L$7:L$64,SMALL(M$7:M$64,14)))</f>
        <v/>
      </c>
      <c r="O29" s="125" t="str">
        <f t="shared" si="1"/>
        <v/>
      </c>
      <c r="P29" s="62"/>
      <c r="Q29" s="62"/>
      <c r="R29" s="62"/>
      <c r="S29" s="62"/>
    </row>
    <row r="30" spans="1:19" s="38" customFormat="1" ht="25.5" customHeight="1" x14ac:dyDescent="0.2">
      <c r="A30" s="121" t="str">
        <f>IF(N30="","",SUMIF(Kassenbuch!$S$20:$S$68,$N30,Kassenbuch!$U$20:$U$68))</f>
        <v/>
      </c>
      <c r="B30" s="249" t="str">
        <f t="shared" si="2"/>
        <v/>
      </c>
      <c r="C30" s="250"/>
      <c r="D30" s="45"/>
      <c r="E30" s="251" t="str">
        <f t="shared" si="3"/>
        <v/>
      </c>
      <c r="F30" s="250"/>
      <c r="G30" s="46"/>
      <c r="H30" s="246" t="str">
        <f t="shared" si="0"/>
        <v/>
      </c>
      <c r="I30" s="246"/>
      <c r="J30" s="246"/>
      <c r="K30" s="120"/>
      <c r="L30" s="123" t="str">
        <f>IF(ISERROR(SMALL(Kassenbuch!$S$20:$S$68,15)),"",SMALL(Kassenbuch!$S$20:$S$68,15))</f>
        <v/>
      </c>
      <c r="M30" s="124" t="str">
        <f>IF(OR(L30="",L30=L29),"",MAX(M$16:M29)+COUNTIF(Kassenbuch!$S$20:$S$68,L30))</f>
        <v/>
      </c>
      <c r="N30" s="123" t="str">
        <f>IF(COUNTIF(M$7:M$64,"&gt;0")&lt;15,"",SMALL(L$7:L$64,SMALL(M$7:M$64,15)))</f>
        <v/>
      </c>
      <c r="O30" s="125" t="str">
        <f t="shared" si="1"/>
        <v/>
      </c>
      <c r="P30" s="62"/>
      <c r="Q30" s="62"/>
      <c r="R30" s="62"/>
      <c r="S30" s="62"/>
    </row>
    <row r="31" spans="1:19" s="38" customFormat="1" ht="25.5" customHeight="1" x14ac:dyDescent="0.2">
      <c r="A31" s="121" t="str">
        <f>IF(N31="","",SUMIF(Kassenbuch!$S$20:$S$68,$N31,Kassenbuch!$U$20:$U$68))</f>
        <v/>
      </c>
      <c r="B31" s="249" t="str">
        <f t="shared" si="2"/>
        <v/>
      </c>
      <c r="C31" s="250"/>
      <c r="D31" s="45"/>
      <c r="E31" s="251" t="str">
        <f t="shared" si="3"/>
        <v/>
      </c>
      <c r="F31" s="250"/>
      <c r="G31" s="46"/>
      <c r="H31" s="246" t="str">
        <f t="shared" si="0"/>
        <v/>
      </c>
      <c r="I31" s="246"/>
      <c r="J31" s="246"/>
      <c r="K31" s="120"/>
      <c r="L31" s="123" t="str">
        <f>IF(ISERROR(SMALL(Kassenbuch!$S$20:$S$68,16)),"",SMALL(Kassenbuch!$S$20:$S$68,16))</f>
        <v/>
      </c>
      <c r="M31" s="124" t="str">
        <f>IF(OR(L31="",L31=L30),"",MAX(M$16:M30)+COUNTIF(Kassenbuch!$S$20:$S$68,L31))</f>
        <v/>
      </c>
      <c r="N31" s="123" t="str">
        <f>IF(COUNTIF(M$7:M$64,"&gt;0")&lt;16,"",SMALL(L$7:L$64,SMALL(M$7:M$64,16)))</f>
        <v/>
      </c>
      <c r="O31" s="125" t="str">
        <f t="shared" si="1"/>
        <v/>
      </c>
      <c r="P31" s="62"/>
      <c r="Q31" s="62"/>
      <c r="R31" s="62"/>
      <c r="S31" s="62"/>
    </row>
    <row r="32" spans="1:19" s="38" customFormat="1" ht="25.5" customHeight="1" x14ac:dyDescent="0.2">
      <c r="A32" s="126" t="str">
        <f>IF(A16&lt;&gt;"",SUM(A16:A31),"")</f>
        <v/>
      </c>
      <c r="B32" s="252" t="str">
        <f>IF(A32="","","Gesamtbetrag")</f>
        <v/>
      </c>
      <c r="C32" s="252"/>
      <c r="D32" s="127"/>
      <c r="E32" s="253"/>
      <c r="F32" s="253"/>
      <c r="G32" s="128"/>
      <c r="H32" s="253"/>
      <c r="I32" s="253"/>
      <c r="J32" s="253"/>
      <c r="K32" s="120"/>
      <c r="L32" s="123" t="str">
        <f>IF(ISERROR(SMALL(Kassenbuch!$S$20:$S$68,17)),"",SMALL(Kassenbuch!$S$20:$S$68,17))</f>
        <v/>
      </c>
      <c r="M32" s="124" t="str">
        <f>IF(OR(L32="",L32=L31),"",MAX(M$16:M31)+COUNTIF(Kassenbuch!$S$20:$S$68,L32))</f>
        <v/>
      </c>
      <c r="N32" s="129"/>
      <c r="O32" s="130"/>
      <c r="P32" s="62"/>
      <c r="Q32" s="62"/>
      <c r="R32" s="62"/>
      <c r="S32" s="62"/>
    </row>
    <row r="33" spans="1:19" s="29" customFormat="1" ht="37.5" customHeight="1" x14ac:dyDescent="0.2">
      <c r="A33" s="131"/>
      <c r="B33" s="254"/>
      <c r="C33" s="254"/>
      <c r="D33" s="111"/>
      <c r="E33" s="254"/>
      <c r="F33" s="254"/>
      <c r="G33" s="254"/>
      <c r="H33" s="254"/>
      <c r="I33" s="254"/>
      <c r="J33" s="254"/>
      <c r="K33" s="112"/>
      <c r="L33" s="123" t="str">
        <f>IF(ISERROR(SMALL(Kassenbuch!$S$20:$S$68,18)),"",SMALL(Kassenbuch!$S$20:$S$68,18))</f>
        <v/>
      </c>
      <c r="M33" s="124" t="str">
        <f>IF(OR(L33="",L33=L32),"",MAX(M$16:M32)+COUNTIF(Kassenbuch!$S$20:$S$68,L33))</f>
        <v/>
      </c>
      <c r="N33" s="129"/>
      <c r="O33" s="130"/>
      <c r="P33" s="62"/>
      <c r="Q33" s="26"/>
      <c r="R33" s="26"/>
      <c r="S33" s="26"/>
    </row>
    <row r="34" spans="1:19" s="29" customFormat="1" ht="17.25" customHeight="1" x14ac:dyDescent="0.2">
      <c r="A34" s="132" t="s">
        <v>167</v>
      </c>
      <c r="B34" s="247"/>
      <c r="C34" s="247"/>
      <c r="D34" s="247"/>
      <c r="E34" s="247"/>
      <c r="F34" s="248" t="s">
        <v>168</v>
      </c>
      <c r="G34" s="248"/>
      <c r="H34" s="248"/>
      <c r="I34" s="248"/>
      <c r="J34" s="248"/>
      <c r="K34" s="112"/>
      <c r="L34" s="123" t="str">
        <f>IF(ISERROR(SMALL(Kassenbuch!$S$20:$S$68,19)),"",SMALL(Kassenbuch!$S$20:$S$68,19))</f>
        <v/>
      </c>
      <c r="M34" s="124" t="str">
        <f>IF(OR(L34="",L34=L33),"",MAX(M$16:M33)+COUNTIF(Kassenbuch!$S$20:$S$68,L34))</f>
        <v/>
      </c>
      <c r="N34" s="129"/>
      <c r="O34" s="130"/>
      <c r="P34" s="62"/>
      <c r="Q34" s="26"/>
      <c r="R34" s="26"/>
      <c r="S34" s="26"/>
    </row>
    <row r="35" spans="1:19" ht="15" x14ac:dyDescent="0.2">
      <c r="A35" s="65"/>
      <c r="B35" s="65"/>
      <c r="C35" s="65"/>
      <c r="D35" s="65"/>
      <c r="E35" s="65"/>
      <c r="F35" s="65"/>
      <c r="G35" s="65"/>
      <c r="H35" s="65"/>
      <c r="I35" s="65"/>
      <c r="J35" s="65"/>
      <c r="K35" s="65"/>
      <c r="L35" s="123" t="str">
        <f>IF(ISERROR(SMALL(Kassenbuch!$S$20:$S$68,20)),"",SMALL(Kassenbuch!$S$20:$S$68,20))</f>
        <v/>
      </c>
      <c r="M35" s="124" t="str">
        <f>IF(OR(L35="",L35=L34),"",MAX(M$16:M34)+COUNTIF(Kassenbuch!$S$20:$S$68,L35))</f>
        <v/>
      </c>
      <c r="N35" s="129"/>
      <c r="O35" s="130"/>
      <c r="P35" s="62"/>
    </row>
    <row r="36" spans="1:19" ht="15" x14ac:dyDescent="0.2">
      <c r="A36" s="65"/>
      <c r="B36" s="65"/>
      <c r="C36" s="65"/>
      <c r="D36" s="65"/>
      <c r="E36" s="65"/>
      <c r="F36" s="65"/>
      <c r="G36" s="65"/>
      <c r="H36" s="65"/>
      <c r="I36" s="65"/>
      <c r="J36" s="65"/>
      <c r="K36" s="65"/>
      <c r="L36" s="123" t="str">
        <f>IF(ISERROR(SMALL(Kassenbuch!$S$20:$S$68,21)),"",SMALL(Kassenbuch!$S$20:$S$68,21))</f>
        <v/>
      </c>
      <c r="M36" s="124" t="str">
        <f>IF(OR(L36="",L36=L35),"",MAX(M$16:M35)+COUNTIF(Kassenbuch!$S$20:$S$68,L36))</f>
        <v/>
      </c>
      <c r="N36" s="129"/>
      <c r="O36" s="130"/>
      <c r="P36" s="62"/>
    </row>
    <row r="37" spans="1:19" ht="15" x14ac:dyDescent="0.2">
      <c r="A37" s="65"/>
      <c r="B37" s="65"/>
      <c r="C37" s="65"/>
      <c r="D37" s="65"/>
      <c r="E37" s="65"/>
      <c r="F37" s="65"/>
      <c r="G37" s="65"/>
      <c r="H37" s="65"/>
      <c r="I37" s="65"/>
      <c r="J37" s="65"/>
      <c r="K37" s="65"/>
      <c r="L37" s="123" t="str">
        <f>IF(ISERROR(SMALL(Kassenbuch!$S$20:$S$68,22)),"",SMALL(Kassenbuch!$S$20:$S$68,22))</f>
        <v/>
      </c>
      <c r="M37" s="124" t="str">
        <f>IF(OR(L37="",L37=L36),"",MAX(M$16:M36)+COUNTIF(Kassenbuch!$S$20:$S$68,L37))</f>
        <v/>
      </c>
      <c r="N37" s="129"/>
      <c r="O37" s="130"/>
      <c r="P37" s="62"/>
    </row>
    <row r="38" spans="1:19" ht="15" x14ac:dyDescent="0.2">
      <c r="A38" s="65"/>
      <c r="B38" s="65"/>
      <c r="C38" s="65"/>
      <c r="D38" s="65"/>
      <c r="E38" s="65"/>
      <c r="F38" s="65"/>
      <c r="G38" s="65"/>
      <c r="H38" s="65"/>
      <c r="I38" s="65"/>
      <c r="J38" s="65"/>
      <c r="K38" s="65"/>
      <c r="L38" s="123" t="str">
        <f>IF(ISERROR(SMALL(Kassenbuch!$S$20:$S$68,23)),"",SMALL(Kassenbuch!$S$20:$S$68,23))</f>
        <v/>
      </c>
      <c r="M38" s="124" t="str">
        <f>IF(OR(L38="",L38=L37),"",MAX(M$16:M37)+COUNTIF(Kassenbuch!$S$20:$S$68,L38))</f>
        <v/>
      </c>
      <c r="N38" s="129"/>
      <c r="O38" s="130"/>
      <c r="P38" s="62"/>
    </row>
    <row r="39" spans="1:19" ht="15" x14ac:dyDescent="0.2">
      <c r="A39" s="65"/>
      <c r="B39" s="65"/>
      <c r="C39" s="65"/>
      <c r="D39" s="65"/>
      <c r="E39" s="65"/>
      <c r="F39" s="65"/>
      <c r="G39" s="65"/>
      <c r="H39" s="65"/>
      <c r="I39" s="65"/>
      <c r="J39" s="65"/>
      <c r="K39" s="65"/>
      <c r="L39" s="123" t="str">
        <f>IF(ISERROR(SMALL(Kassenbuch!$S$20:$S$68,24)),"",SMALL(Kassenbuch!$S$20:$S$68,24))</f>
        <v/>
      </c>
      <c r="M39" s="124" t="str">
        <f>IF(OR(L39="",L39=L38),"",MAX(M$16:M38)+COUNTIF(Kassenbuch!$S$20:$S$68,L39))</f>
        <v/>
      </c>
      <c r="N39" s="129"/>
      <c r="O39" s="130"/>
      <c r="P39" s="62"/>
    </row>
    <row r="40" spans="1:19" ht="15" x14ac:dyDescent="0.2">
      <c r="A40" s="65"/>
      <c r="B40" s="65"/>
      <c r="C40" s="65"/>
      <c r="D40" s="65"/>
      <c r="E40" s="65"/>
      <c r="F40" s="65"/>
      <c r="G40" s="65"/>
      <c r="H40" s="65"/>
      <c r="I40" s="65"/>
      <c r="J40" s="65"/>
      <c r="K40" s="65"/>
      <c r="L40" s="123" t="str">
        <f>IF(ISERROR(SMALL(Kassenbuch!$S$20:$S$68,25)),"",SMALL(Kassenbuch!$S$20:$S$68,25))</f>
        <v/>
      </c>
      <c r="M40" s="124" t="str">
        <f>IF(OR(L40="",L40=L39),"",MAX(M$16:M39)+COUNTIF(Kassenbuch!$S$20:$S$68,L40))</f>
        <v/>
      </c>
      <c r="N40" s="129"/>
      <c r="O40" s="130"/>
      <c r="P40" s="62"/>
    </row>
    <row r="41" spans="1:19" ht="15" x14ac:dyDescent="0.2">
      <c r="A41" s="65"/>
      <c r="B41" s="65"/>
      <c r="C41" s="65"/>
      <c r="D41" s="65"/>
      <c r="E41" s="65"/>
      <c r="F41" s="65"/>
      <c r="G41" s="65"/>
      <c r="H41" s="65"/>
      <c r="I41" s="65"/>
      <c r="J41" s="65"/>
      <c r="K41" s="65"/>
      <c r="L41" s="123" t="str">
        <f>IF(ISERROR(SMALL(Kassenbuch!$S$20:$S$68,26)),"",SMALL(Kassenbuch!$S$20:$S$68,26))</f>
        <v/>
      </c>
      <c r="M41" s="124" t="str">
        <f>IF(OR(L41="",L41=L40),"",MAX(M$16:M40)+COUNTIF(Kassenbuch!$S$20:$S$68,L41))</f>
        <v/>
      </c>
      <c r="N41" s="129"/>
      <c r="O41" s="130"/>
      <c r="P41" s="62"/>
    </row>
    <row r="42" spans="1:19" ht="15" x14ac:dyDescent="0.2">
      <c r="A42" s="65"/>
      <c r="B42" s="65"/>
      <c r="C42" s="65"/>
      <c r="D42" s="65"/>
      <c r="E42" s="65"/>
      <c r="F42" s="65"/>
      <c r="G42" s="65"/>
      <c r="H42" s="65"/>
      <c r="I42" s="65"/>
      <c r="J42" s="65"/>
      <c r="K42" s="65"/>
      <c r="L42" s="123" t="str">
        <f>IF(ISERROR(SMALL(Kassenbuch!$S$20:$S$68,27)),"",SMALL(Kassenbuch!$S$20:$S$68,27))</f>
        <v/>
      </c>
      <c r="M42" s="124" t="str">
        <f>IF(OR(L42="",L42=L41),"",MAX(M$16:M41)+COUNTIF(Kassenbuch!$S$20:$S$68,L42))</f>
        <v/>
      </c>
      <c r="N42" s="129"/>
      <c r="O42" s="130"/>
      <c r="P42" s="62"/>
    </row>
    <row r="43" spans="1:19" ht="15" x14ac:dyDescent="0.2">
      <c r="A43" s="65"/>
      <c r="B43" s="65"/>
      <c r="C43" s="65"/>
      <c r="D43" s="65"/>
      <c r="E43" s="65"/>
      <c r="F43" s="65"/>
      <c r="G43" s="65"/>
      <c r="H43" s="65"/>
      <c r="I43" s="65"/>
      <c r="J43" s="65"/>
      <c r="K43" s="65"/>
      <c r="L43" s="123" t="str">
        <f>IF(ISERROR(SMALL(Kassenbuch!$S$20:$S$68,28)),"",SMALL(Kassenbuch!$S$20:$S$68,28))</f>
        <v/>
      </c>
      <c r="M43" s="124" t="str">
        <f>IF(OR(L43="",L43=L42),"",MAX(M$16:M42)+COUNTIF(Kassenbuch!$S$20:$S$68,L43))</f>
        <v/>
      </c>
      <c r="N43" s="129"/>
      <c r="O43" s="130"/>
      <c r="P43" s="62"/>
    </row>
    <row r="44" spans="1:19" ht="15" x14ac:dyDescent="0.2">
      <c r="A44" s="65"/>
      <c r="B44" s="65"/>
      <c r="C44" s="65"/>
      <c r="D44" s="65"/>
      <c r="E44" s="65"/>
      <c r="F44" s="65"/>
      <c r="G44" s="65"/>
      <c r="H44" s="65"/>
      <c r="I44" s="65"/>
      <c r="J44" s="65"/>
      <c r="K44" s="65"/>
      <c r="L44" s="123" t="str">
        <f>IF(ISERROR(SMALL(Kassenbuch!$S$20:$S$68,29)),"",SMALL(Kassenbuch!$S$20:$S$68,29))</f>
        <v/>
      </c>
      <c r="M44" s="124" t="str">
        <f>IF(OR(L44="",L44=L43),"",MAX(M$16:M43)+COUNTIF(Kassenbuch!$S$20:$S$68,L44))</f>
        <v/>
      </c>
      <c r="N44" s="129"/>
      <c r="O44" s="130"/>
      <c r="P44" s="62"/>
    </row>
    <row r="45" spans="1:19" ht="15" x14ac:dyDescent="0.2">
      <c r="A45" s="65"/>
      <c r="B45" s="65"/>
      <c r="C45" s="65"/>
      <c r="D45" s="65"/>
      <c r="E45" s="65"/>
      <c r="F45" s="65"/>
      <c r="G45" s="65"/>
      <c r="H45" s="65"/>
      <c r="I45" s="65"/>
      <c r="J45" s="65"/>
      <c r="K45" s="65"/>
      <c r="L45" s="123" t="str">
        <f>IF(ISERROR(SMALL(Kassenbuch!$S$20:$S$68,30)),"",SMALL(Kassenbuch!$S$20:$S$68,30))</f>
        <v/>
      </c>
      <c r="M45" s="124" t="str">
        <f>IF(OR(L45="",L45=L44),"",MAX(M$16:M44)+COUNTIF(Kassenbuch!$S$20:$S$68,L45))</f>
        <v/>
      </c>
      <c r="N45" s="129"/>
      <c r="O45" s="130"/>
      <c r="P45" s="62"/>
    </row>
    <row r="46" spans="1:19" ht="15" x14ac:dyDescent="0.2">
      <c r="A46" s="65"/>
      <c r="B46" s="65"/>
      <c r="C46" s="65"/>
      <c r="D46" s="65"/>
      <c r="E46" s="65"/>
      <c r="F46" s="65"/>
      <c r="G46" s="65"/>
      <c r="H46" s="65"/>
      <c r="I46" s="65"/>
      <c r="J46" s="65"/>
      <c r="K46" s="65"/>
      <c r="L46" s="123" t="str">
        <f>IF(ISERROR(SMALL(Kassenbuch!$S$20:$S$68,31)),"",SMALL(Kassenbuch!$S$20:$S$68,31))</f>
        <v/>
      </c>
      <c r="M46" s="124" t="str">
        <f>IF(OR(L46="",L46=L45),"",MAX(M$16:M45)+COUNTIF(Kassenbuch!$S$20:$S$68,L46))</f>
        <v/>
      </c>
      <c r="N46" s="129"/>
      <c r="O46" s="130"/>
      <c r="P46" s="62"/>
    </row>
    <row r="47" spans="1:19" ht="15" x14ac:dyDescent="0.2">
      <c r="A47" s="65"/>
      <c r="B47" s="65"/>
      <c r="C47" s="65"/>
      <c r="D47" s="65"/>
      <c r="E47" s="65"/>
      <c r="F47" s="65"/>
      <c r="G47" s="65"/>
      <c r="H47" s="65"/>
      <c r="I47" s="65"/>
      <c r="J47" s="65"/>
      <c r="K47" s="65"/>
      <c r="L47" s="123" t="str">
        <f>IF(ISERROR(SMALL(Kassenbuch!$S$20:$S$68,32)),"",SMALL(Kassenbuch!$S$20:$S$68,32))</f>
        <v/>
      </c>
      <c r="M47" s="124" t="str">
        <f>IF(OR(L47="",L47=L46),"",MAX(M$16:M46)+COUNTIF(Kassenbuch!$S$20:$S$68,L47))</f>
        <v/>
      </c>
      <c r="N47" s="129"/>
      <c r="O47" s="130"/>
      <c r="P47" s="62"/>
    </row>
    <row r="48" spans="1:19" ht="15" x14ac:dyDescent="0.2">
      <c r="A48" s="65"/>
      <c r="B48" s="65"/>
      <c r="C48" s="65"/>
      <c r="D48" s="65"/>
      <c r="E48" s="65"/>
      <c r="F48" s="65"/>
      <c r="G48" s="65"/>
      <c r="H48" s="65"/>
      <c r="I48" s="65"/>
      <c r="J48" s="65"/>
      <c r="K48" s="65"/>
      <c r="L48" s="123" t="str">
        <f>IF(ISERROR(SMALL(Kassenbuch!$S$20:$S$68,33)),"",SMALL(Kassenbuch!$S$20:$S$68,33))</f>
        <v/>
      </c>
      <c r="M48" s="124" t="str">
        <f>IF(OR(L48="",L48=L47),"",MAX(M$16:M47)+COUNTIF(Kassenbuch!$S$20:$S$68,L48))</f>
        <v/>
      </c>
      <c r="N48" s="129"/>
      <c r="O48" s="130"/>
      <c r="P48" s="62"/>
    </row>
    <row r="49" spans="1:16" ht="15" x14ac:dyDescent="0.2">
      <c r="A49" s="65"/>
      <c r="B49" s="65"/>
      <c r="C49" s="65"/>
      <c r="D49" s="65"/>
      <c r="E49" s="65"/>
      <c r="F49" s="65"/>
      <c r="G49" s="65"/>
      <c r="H49" s="65"/>
      <c r="I49" s="65"/>
      <c r="J49" s="65"/>
      <c r="K49" s="65"/>
      <c r="L49" s="123" t="str">
        <f>IF(ISERROR(SMALL(Kassenbuch!$S$20:$S$68,34)),"",SMALL(Kassenbuch!$S$20:$S$68,34))</f>
        <v/>
      </c>
      <c r="M49" s="124" t="str">
        <f>IF(OR(L49="",L49=L48),"",MAX(M$16:M48)+COUNTIF(Kassenbuch!$S$20:$S$68,L49))</f>
        <v/>
      </c>
      <c r="N49" s="129"/>
      <c r="O49" s="130"/>
      <c r="P49" s="62"/>
    </row>
    <row r="50" spans="1:16" ht="15" x14ac:dyDescent="0.2">
      <c r="A50" s="65"/>
      <c r="B50" s="65"/>
      <c r="C50" s="65"/>
      <c r="D50" s="65"/>
      <c r="E50" s="65"/>
      <c r="F50" s="65"/>
      <c r="G50" s="65"/>
      <c r="H50" s="65"/>
      <c r="I50" s="65"/>
      <c r="J50" s="65"/>
      <c r="K50" s="65"/>
      <c r="L50" s="123" t="str">
        <f>IF(ISERROR(SMALL(Kassenbuch!$S$20:$S$68,35)),"",SMALL(Kassenbuch!$S$20:$S$68,35))</f>
        <v/>
      </c>
      <c r="M50" s="124" t="str">
        <f>IF(OR(L50="",L50=L49),"",MAX(M$16:M49)+COUNTIF(Kassenbuch!$S$20:$S$68,L50))</f>
        <v/>
      </c>
      <c r="N50" s="129"/>
      <c r="O50" s="130"/>
      <c r="P50" s="62"/>
    </row>
    <row r="51" spans="1:16" ht="15" x14ac:dyDescent="0.2">
      <c r="A51" s="65"/>
      <c r="B51" s="65"/>
      <c r="C51" s="65"/>
      <c r="D51" s="65"/>
      <c r="E51" s="65"/>
      <c r="F51" s="65"/>
      <c r="G51" s="65"/>
      <c r="H51" s="65"/>
      <c r="I51" s="65"/>
      <c r="J51" s="65"/>
      <c r="K51" s="65"/>
      <c r="L51" s="123" t="str">
        <f>IF(ISERROR(SMALL(Kassenbuch!$S$20:$S$68,36)),"",SMALL(Kassenbuch!$S$20:$S$68,36))</f>
        <v/>
      </c>
      <c r="M51" s="124" t="str">
        <f>IF(OR(L51="",L51=L50),"",MAX(M$16:M50)+COUNTIF(Kassenbuch!$S$20:$S$68,L51))</f>
        <v/>
      </c>
      <c r="N51" s="129"/>
      <c r="O51" s="130"/>
      <c r="P51" s="62"/>
    </row>
    <row r="52" spans="1:16" ht="15" x14ac:dyDescent="0.2">
      <c r="A52" s="65"/>
      <c r="B52" s="65"/>
      <c r="C52" s="65"/>
      <c r="D52" s="65"/>
      <c r="E52" s="65"/>
      <c r="F52" s="65"/>
      <c r="G52" s="65"/>
      <c r="H52" s="65"/>
      <c r="I52" s="65"/>
      <c r="J52" s="65"/>
      <c r="K52" s="65"/>
      <c r="L52" s="123" t="str">
        <f>IF(ISERROR(SMALL(Kassenbuch!$S$20:$S$68,37)),"",SMALL(Kassenbuch!$S$20:$S$68,37))</f>
        <v/>
      </c>
      <c r="M52" s="124" t="str">
        <f>IF(OR(L52="",L52=L51),"",MAX(M$16:M51)+COUNTIF(Kassenbuch!$S$20:$S$68,L52))</f>
        <v/>
      </c>
      <c r="N52" s="129"/>
      <c r="O52" s="130"/>
      <c r="P52" s="62"/>
    </row>
    <row r="53" spans="1:16" ht="15" x14ac:dyDescent="0.2">
      <c r="A53" s="65"/>
      <c r="B53" s="65"/>
      <c r="C53" s="65"/>
      <c r="D53" s="65"/>
      <c r="E53" s="65"/>
      <c r="F53" s="65"/>
      <c r="G53" s="65"/>
      <c r="H53" s="65"/>
      <c r="I53" s="65"/>
      <c r="J53" s="65"/>
      <c r="K53" s="65"/>
      <c r="L53" s="123" t="str">
        <f>IF(ISERROR(SMALL(Kassenbuch!$S$20:$S$68,38)),"",SMALL(Kassenbuch!$S$20:$S$68,38))</f>
        <v/>
      </c>
      <c r="M53" s="124" t="str">
        <f>IF(OR(L53="",L53=L52),"",MAX(M$16:M52)+COUNTIF(Kassenbuch!$S$20:$S$68,L53))</f>
        <v/>
      </c>
      <c r="N53" s="129"/>
      <c r="O53" s="130"/>
      <c r="P53" s="62"/>
    </row>
    <row r="54" spans="1:16" ht="15" x14ac:dyDescent="0.2">
      <c r="A54" s="65"/>
      <c r="B54" s="65"/>
      <c r="C54" s="65"/>
      <c r="D54" s="65"/>
      <c r="E54" s="65"/>
      <c r="F54" s="65"/>
      <c r="G54" s="65"/>
      <c r="H54" s="65"/>
      <c r="I54" s="65"/>
      <c r="J54" s="65"/>
      <c r="K54" s="65"/>
      <c r="L54" s="123" t="str">
        <f>IF(ISERROR(SMALL(Kassenbuch!$S$20:$S$68,39)),"",SMALL(Kassenbuch!$S$20:$S$68,39))</f>
        <v/>
      </c>
      <c r="M54" s="124" t="str">
        <f>IF(OR(L54="",L54=L53),"",MAX(M$16:M53)+COUNTIF(Kassenbuch!$S$20:$S$68,L54))</f>
        <v/>
      </c>
      <c r="N54" s="129"/>
      <c r="O54" s="130"/>
      <c r="P54" s="62"/>
    </row>
    <row r="55" spans="1:16" ht="15" x14ac:dyDescent="0.2">
      <c r="A55" s="65"/>
      <c r="B55" s="65"/>
      <c r="C55" s="65"/>
      <c r="D55" s="65"/>
      <c r="E55" s="65"/>
      <c r="F55" s="65"/>
      <c r="G55" s="65"/>
      <c r="H55" s="65"/>
      <c r="I55" s="65"/>
      <c r="J55" s="65"/>
      <c r="K55" s="65"/>
      <c r="L55" s="123" t="str">
        <f>IF(ISERROR(SMALL(Kassenbuch!$S$20:$S$68,40)),"",SMALL(Kassenbuch!$S$20:$S$68,40))</f>
        <v/>
      </c>
      <c r="M55" s="124" t="str">
        <f>IF(OR(L55="",L55=L54),"",MAX(M$16:M54)+COUNTIF(Kassenbuch!$S$20:$S$68,L55))</f>
        <v/>
      </c>
      <c r="N55" s="129"/>
      <c r="O55" s="130"/>
      <c r="P55" s="62"/>
    </row>
    <row r="56" spans="1:16" ht="15" x14ac:dyDescent="0.2">
      <c r="A56" s="65"/>
      <c r="B56" s="65"/>
      <c r="C56" s="65"/>
      <c r="D56" s="65"/>
      <c r="E56" s="65"/>
      <c r="F56" s="65"/>
      <c r="G56" s="65"/>
      <c r="H56" s="65"/>
      <c r="I56" s="65"/>
      <c r="J56" s="65"/>
      <c r="K56" s="65"/>
      <c r="L56" s="123" t="str">
        <f>IF(ISERROR(SMALL(Kassenbuch!$S$20:$S$68,41)),"",SMALL(Kassenbuch!$S$20:$S$68,41))</f>
        <v/>
      </c>
      <c r="M56" s="124" t="str">
        <f>IF(OR(L56="",L56=L55),"",MAX(M$16:M55)+COUNTIF(Kassenbuch!$S$20:$S$68,L56))</f>
        <v/>
      </c>
      <c r="N56" s="129"/>
      <c r="O56" s="130"/>
      <c r="P56" s="62"/>
    </row>
    <row r="57" spans="1:16" ht="15" x14ac:dyDescent="0.2">
      <c r="A57" s="65"/>
      <c r="B57" s="65"/>
      <c r="C57" s="65"/>
      <c r="D57" s="65"/>
      <c r="E57" s="65"/>
      <c r="F57" s="65"/>
      <c r="G57" s="65"/>
      <c r="H57" s="65"/>
      <c r="I57" s="65"/>
      <c r="J57" s="65"/>
      <c r="K57" s="65"/>
      <c r="L57" s="123" t="str">
        <f>IF(ISERROR(SMALL(Kassenbuch!$S$20:$S$68,42)),"",SMALL(Kassenbuch!$S$20:$S$68,42))</f>
        <v/>
      </c>
      <c r="M57" s="124" t="str">
        <f>IF(OR(L57="",L57=L56),"",MAX(M$16:M56)+COUNTIF(Kassenbuch!$S$20:$S$68,L57))</f>
        <v/>
      </c>
      <c r="N57" s="129"/>
      <c r="O57" s="130"/>
      <c r="P57" s="62"/>
    </row>
    <row r="58" spans="1:16" ht="15" x14ac:dyDescent="0.2">
      <c r="A58" s="65"/>
      <c r="B58" s="65"/>
      <c r="C58" s="65"/>
      <c r="D58" s="65"/>
      <c r="E58" s="65"/>
      <c r="F58" s="65"/>
      <c r="G58" s="65"/>
      <c r="H58" s="65"/>
      <c r="I58" s="65"/>
      <c r="J58" s="65"/>
      <c r="K58" s="65"/>
      <c r="L58" s="123" t="str">
        <f>IF(ISERROR(SMALL(Kassenbuch!$S$20:$S$68,43)),"",SMALL(Kassenbuch!$S$20:$S$68,43))</f>
        <v/>
      </c>
      <c r="M58" s="124" t="str">
        <f>IF(OR(L58="",L58=L57),"",MAX(M$16:M57)+COUNTIF(Kassenbuch!$S$20:$S$68,L58))</f>
        <v/>
      </c>
      <c r="N58" s="129"/>
      <c r="O58" s="130"/>
      <c r="P58" s="62"/>
    </row>
    <row r="59" spans="1:16" ht="15" x14ac:dyDescent="0.2">
      <c r="A59" s="65"/>
      <c r="B59" s="65"/>
      <c r="C59" s="65"/>
      <c r="D59" s="65"/>
      <c r="E59" s="65"/>
      <c r="F59" s="65"/>
      <c r="G59" s="65"/>
      <c r="H59" s="65"/>
      <c r="I59" s="65"/>
      <c r="J59" s="65"/>
      <c r="K59" s="65"/>
      <c r="L59" s="123" t="str">
        <f>IF(ISERROR(SMALL(Kassenbuch!$S$20:$S$68,44)),"",SMALL(Kassenbuch!$S$20:$S$68,44))</f>
        <v/>
      </c>
      <c r="M59" s="124" t="str">
        <f>IF(OR(L59="",L59=L58),"",MAX(M$16:M58)+COUNTIF(Kassenbuch!$S$20:$S$68,L59))</f>
        <v/>
      </c>
      <c r="N59" s="129"/>
      <c r="O59" s="130"/>
      <c r="P59" s="62"/>
    </row>
    <row r="60" spans="1:16" ht="15" x14ac:dyDescent="0.2">
      <c r="A60" s="65"/>
      <c r="B60" s="65"/>
      <c r="C60" s="65"/>
      <c r="D60" s="65"/>
      <c r="E60" s="65"/>
      <c r="F60" s="65"/>
      <c r="G60" s="65"/>
      <c r="H60" s="65"/>
      <c r="I60" s="65"/>
      <c r="J60" s="65"/>
      <c r="K60" s="65"/>
      <c r="L60" s="123" t="str">
        <f>IF(ISERROR(SMALL(Kassenbuch!$S$20:$S$68,45)),"",SMALL(Kassenbuch!$S$20:$S$68,45))</f>
        <v/>
      </c>
      <c r="M60" s="124" t="str">
        <f>IF(OR(L60="",L60=L59),"",MAX(M$16:M59)+COUNTIF(Kassenbuch!$S$20:$S$68,L60))</f>
        <v/>
      </c>
      <c r="N60" s="129"/>
      <c r="O60" s="130"/>
      <c r="P60" s="62"/>
    </row>
    <row r="61" spans="1:16" ht="15" x14ac:dyDescent="0.2">
      <c r="A61" s="65"/>
      <c r="B61" s="65"/>
      <c r="C61" s="65"/>
      <c r="D61" s="65"/>
      <c r="E61" s="65"/>
      <c r="F61" s="65"/>
      <c r="G61" s="65"/>
      <c r="H61" s="65"/>
      <c r="I61" s="65"/>
      <c r="J61" s="65"/>
      <c r="K61" s="65"/>
      <c r="L61" s="123" t="str">
        <f>IF(ISERROR(SMALL(Kassenbuch!$S$20:$S$68,46)),"",SMALL(Kassenbuch!$S$20:$S$68,46))</f>
        <v/>
      </c>
      <c r="M61" s="124" t="str">
        <f>IF(OR(L61="",L61=L60),"",MAX(M$16:M60)+COUNTIF(Kassenbuch!$S$20:$S$68,L61))</f>
        <v/>
      </c>
      <c r="N61" s="129"/>
      <c r="O61" s="130"/>
      <c r="P61" s="62"/>
    </row>
    <row r="62" spans="1:16" ht="15" x14ac:dyDescent="0.2">
      <c r="A62" s="65"/>
      <c r="B62" s="65"/>
      <c r="C62" s="65"/>
      <c r="D62" s="65"/>
      <c r="E62" s="65"/>
      <c r="F62" s="65"/>
      <c r="G62" s="65"/>
      <c r="H62" s="65"/>
      <c r="I62" s="65"/>
      <c r="J62" s="65"/>
      <c r="K62" s="65"/>
      <c r="L62" s="123" t="str">
        <f>IF(ISERROR(SMALL(Kassenbuch!$S$20:$S$68,47)),"",SMALL(Kassenbuch!$S$20:$S$68,47))</f>
        <v/>
      </c>
      <c r="M62" s="124" t="str">
        <f>IF(OR(L62="",L62=L61),"",MAX(M$16:M61)+COUNTIF(Kassenbuch!$S$20:$S$68,L62))</f>
        <v/>
      </c>
      <c r="N62" s="129"/>
      <c r="O62" s="130"/>
      <c r="P62" s="62"/>
    </row>
    <row r="63" spans="1:16" ht="15" x14ac:dyDescent="0.2">
      <c r="A63" s="65"/>
      <c r="B63" s="65"/>
      <c r="C63" s="65"/>
      <c r="D63" s="65"/>
      <c r="E63" s="65"/>
      <c r="F63" s="65"/>
      <c r="G63" s="65"/>
      <c r="H63" s="65"/>
      <c r="I63" s="65"/>
      <c r="J63" s="65"/>
      <c r="K63" s="65"/>
      <c r="L63" s="123" t="str">
        <f>IF(ISERROR(SMALL(Kassenbuch!$S$20:$S$68,48)),"",SMALL(Kassenbuch!$S$20:$S$68,48))</f>
        <v/>
      </c>
      <c r="M63" s="124" t="str">
        <f>IF(OR(L63="",L63=L62),"",MAX(M$16:M62)+COUNTIF(Kassenbuch!$S$20:$S$68,L63))</f>
        <v/>
      </c>
      <c r="N63" s="129"/>
      <c r="O63" s="130"/>
      <c r="P63" s="62"/>
    </row>
    <row r="64" spans="1:16" ht="15" x14ac:dyDescent="0.2">
      <c r="A64" s="65"/>
      <c r="B64" s="65"/>
      <c r="C64" s="65"/>
      <c r="D64" s="65"/>
      <c r="E64" s="65"/>
      <c r="F64" s="65"/>
      <c r="G64" s="65"/>
      <c r="H64" s="65"/>
      <c r="I64" s="65"/>
      <c r="J64" s="65"/>
      <c r="K64" s="65"/>
      <c r="L64" s="123" t="str">
        <f>IF(ISERROR(SMALL(Kassenbuch!$S$20:$S$68,49)),"",SMALL(Kassenbuch!$S$20:$S$68,49))</f>
        <v/>
      </c>
      <c r="M64" s="124" t="str">
        <f>IF(OR(L64="",L64=L63),"",MAX(M$16:M63)+COUNTIF(Kassenbuch!$S$20:$S$68,L64))</f>
        <v/>
      </c>
      <c r="N64" s="87" t="s">
        <v>108</v>
      </c>
      <c r="O64" s="130"/>
      <c r="P64" s="62"/>
    </row>
  </sheetData>
  <sheetProtection algorithmName="SHA-512" hashValue="Aczjt1E5gU9cchtJOcLxRIpkTyKCqdRSIsuyEOq67z3fiYKao8lmm5eOJ9Y5t+znLsVvz9GQUH2+erZzmC7/1A==" saltValue="63jSKp8sEiY1BVEhuQ98Hg==" spinCount="100000" sheet="1" objects="1" scenarios="1" selectLockedCells="1"/>
  <mergeCells count="68">
    <mergeCell ref="L15:O15"/>
    <mergeCell ref="B15:C15"/>
    <mergeCell ref="E15:F15"/>
    <mergeCell ref="H15:J15"/>
    <mergeCell ref="B2:E4"/>
    <mergeCell ref="I2:J4"/>
    <mergeCell ref="B5:J5"/>
    <mergeCell ref="B8:I8"/>
    <mergeCell ref="B9:C9"/>
    <mergeCell ref="E9:J9"/>
    <mergeCell ref="B10:I10"/>
    <mergeCell ref="D11:E11"/>
    <mergeCell ref="G11:H11"/>
    <mergeCell ref="B16:C16"/>
    <mergeCell ref="E16:F16"/>
    <mergeCell ref="B17:C17"/>
    <mergeCell ref="E17:F17"/>
    <mergeCell ref="B18:C18"/>
    <mergeCell ref="E18:F18"/>
    <mergeCell ref="B19:C19"/>
    <mergeCell ref="E19:F19"/>
    <mergeCell ref="B20:C20"/>
    <mergeCell ref="E20:F20"/>
    <mergeCell ref="B21:C21"/>
    <mergeCell ref="E21:F21"/>
    <mergeCell ref="B22:C22"/>
    <mergeCell ref="E22:F22"/>
    <mergeCell ref="B23:C23"/>
    <mergeCell ref="E23:F23"/>
    <mergeCell ref="B24:C24"/>
    <mergeCell ref="E24:F24"/>
    <mergeCell ref="B25:C25"/>
    <mergeCell ref="E25:F25"/>
    <mergeCell ref="B26:C26"/>
    <mergeCell ref="E26:F26"/>
    <mergeCell ref="B27:C27"/>
    <mergeCell ref="E27:F27"/>
    <mergeCell ref="B28:C28"/>
    <mergeCell ref="E28:F28"/>
    <mergeCell ref="B29:C29"/>
    <mergeCell ref="E29:F29"/>
    <mergeCell ref="B30:C30"/>
    <mergeCell ref="E30:F30"/>
    <mergeCell ref="B34:E34"/>
    <mergeCell ref="F34:J34"/>
    <mergeCell ref="H17:J17"/>
    <mergeCell ref="H18:J18"/>
    <mergeCell ref="H19:J19"/>
    <mergeCell ref="H20:J20"/>
    <mergeCell ref="H21:J21"/>
    <mergeCell ref="H22:J22"/>
    <mergeCell ref="H23:J23"/>
    <mergeCell ref="B31:C31"/>
    <mergeCell ref="E31:F31"/>
    <mergeCell ref="B32:C32"/>
    <mergeCell ref="E32:F32"/>
    <mergeCell ref="H32:J32"/>
    <mergeCell ref="B33:C33"/>
    <mergeCell ref="E33:J33"/>
    <mergeCell ref="H30:J30"/>
    <mergeCell ref="H31:J31"/>
    <mergeCell ref="H16:J16"/>
    <mergeCell ref="H24:J24"/>
    <mergeCell ref="H25:J25"/>
    <mergeCell ref="H26:J26"/>
    <mergeCell ref="H27:J27"/>
    <mergeCell ref="H28:J28"/>
    <mergeCell ref="H29:J29"/>
  </mergeCells>
  <pageMargins left="0.59055118110236227" right="0.27559055118110237" top="0.35433070866141736" bottom="0.39370078740157483" header="0.19685039370078741" footer="0.15748031496062992"/>
  <pageSetup paperSize="9" scale="99" orientation="portrait" blackAndWhite="1" r:id="rId1"/>
  <headerFooter>
    <oddFooter>&amp;L&amp;"Calibri,Standard"&amp;7&amp;K01+048Stand: &amp;D&amp;R&amp;"Calibri,Standard"&amp;7&amp;K01+048Version 3.0 - Dezember 2017</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5" tint="0.39997558519241921"/>
    <pageSetUpPr fitToPage="1"/>
  </sheetPr>
  <dimension ref="A2:S64"/>
  <sheetViews>
    <sheetView showGridLines="0" zoomScaleNormal="100" workbookViewId="0">
      <selection activeCell="Q1" sqref="Q1"/>
    </sheetView>
  </sheetViews>
  <sheetFormatPr baseColWidth="10" defaultColWidth="11.42578125" defaultRowHeight="12.75" x14ac:dyDescent="0.2"/>
  <cols>
    <col min="1" max="1" width="20.7109375" style="26" customWidth="1"/>
    <col min="2" max="3" width="8" style="26" customWidth="1"/>
    <col min="4" max="4" width="0.85546875" style="26" customWidth="1"/>
    <col min="5" max="6" width="8" style="26" customWidth="1"/>
    <col min="7" max="7" width="0.85546875" style="26" customWidth="1"/>
    <col min="8" max="9" width="8" style="26" customWidth="1"/>
    <col min="10" max="10" width="26.42578125" style="26" customWidth="1"/>
    <col min="11" max="11" width="2.7109375" style="26" customWidth="1"/>
    <col min="12" max="12" width="12.140625" style="26" hidden="1" customWidth="1"/>
    <col min="13" max="13" width="6.140625" style="26" hidden="1" customWidth="1"/>
    <col min="14" max="14" width="12.140625" style="26" hidden="1" customWidth="1"/>
    <col min="15" max="15" width="11.42578125" style="26" hidden="1" customWidth="1"/>
    <col min="16" max="16384" width="11.42578125" style="26"/>
  </cols>
  <sheetData>
    <row r="2" spans="1:19" ht="12.75" customHeight="1" x14ac:dyDescent="0.2">
      <c r="B2" s="262" t="s">
        <v>9</v>
      </c>
      <c r="C2" s="262"/>
      <c r="D2" s="262"/>
      <c r="E2" s="262"/>
      <c r="H2" s="24"/>
      <c r="I2" s="244" t="str">
        <f>IF(Kassenbuch!$K$2="","",VLOOKUP(Kassenbuch!$K$2,RT!$A$2:$E$636,5,FALSE))</f>
        <v/>
      </c>
      <c r="J2" s="244"/>
    </row>
    <row r="3" spans="1:19" ht="12.75" customHeight="1" x14ac:dyDescent="0.2">
      <c r="B3" s="262"/>
      <c r="C3" s="262"/>
      <c r="D3" s="262"/>
      <c r="E3" s="262"/>
      <c r="F3" s="24"/>
      <c r="G3" s="24"/>
      <c r="H3" s="24"/>
      <c r="I3" s="244"/>
      <c r="J3" s="244"/>
    </row>
    <row r="4" spans="1:19" ht="12.75" customHeight="1" x14ac:dyDescent="0.2">
      <c r="B4" s="262"/>
      <c r="C4" s="262"/>
      <c r="D4" s="262"/>
      <c r="E4" s="262"/>
      <c r="F4" s="24"/>
      <c r="G4" s="24"/>
      <c r="H4" s="24"/>
      <c r="I4" s="244"/>
      <c r="J4" s="244"/>
    </row>
    <row r="5" spans="1:19" ht="21.75" customHeight="1" x14ac:dyDescent="0.2">
      <c r="B5" s="245" t="str">
        <f>IF(Kassenbuch!$K$2="","",VLOOKUP(Kassenbuch!$K$2,RT!$A$2:$E$636,2,FALSE))</f>
        <v/>
      </c>
      <c r="C5" s="245"/>
      <c r="D5" s="245"/>
      <c r="E5" s="245"/>
      <c r="F5" s="245"/>
      <c r="G5" s="245"/>
      <c r="H5" s="245"/>
      <c r="I5" s="245"/>
      <c r="J5" s="245"/>
    </row>
    <row r="6" spans="1:19" s="27" customFormat="1" ht="10.5" customHeight="1" x14ac:dyDescent="0.2">
      <c r="C6" s="28"/>
      <c r="D6" s="28"/>
    </row>
    <row r="7" spans="1:19" s="29" customFormat="1" ht="30" customHeight="1" x14ac:dyDescent="0.2">
      <c r="B7" s="30" t="s">
        <v>32</v>
      </c>
      <c r="P7" s="26"/>
      <c r="Q7" s="26"/>
      <c r="R7" s="26"/>
      <c r="S7" s="26"/>
    </row>
    <row r="8" spans="1:19" s="32" customFormat="1" ht="29.25" customHeight="1" x14ac:dyDescent="0.2">
      <c r="A8" s="43"/>
      <c r="B8" s="263"/>
      <c r="C8" s="263"/>
      <c r="D8" s="263"/>
      <c r="E8" s="263"/>
      <c r="F8" s="263"/>
      <c r="G8" s="263"/>
      <c r="H8" s="263"/>
      <c r="I8" s="263"/>
      <c r="J8" s="31"/>
      <c r="P8" s="27"/>
      <c r="Q8" s="27"/>
      <c r="R8" s="27"/>
      <c r="S8" s="27"/>
    </row>
    <row r="9" spans="1:19" s="32" customFormat="1" ht="30" customHeight="1" x14ac:dyDescent="0.2">
      <c r="A9" s="33" t="s">
        <v>33</v>
      </c>
      <c r="B9" s="264" t="str">
        <f>IF(Kassenbuch!$K$2&lt;&gt;"","HK "&amp;VLOOKUP(Kassenbuch!$K$2,RT!$A$2:$G$636,4,FALSE),"")</f>
        <v/>
      </c>
      <c r="C9" s="264"/>
      <c r="D9" s="169"/>
      <c r="E9" s="264" t="str">
        <f>IF(Kassenbuch!$K$2&lt;&gt;"",'Buchungsblatt Aufwand'!$E$9:$J$9,"")</f>
        <v/>
      </c>
      <c r="F9" s="264"/>
      <c r="G9" s="264"/>
      <c r="H9" s="264"/>
      <c r="I9" s="264"/>
      <c r="J9" s="264"/>
      <c r="P9" s="27"/>
      <c r="Q9" s="27"/>
      <c r="R9" s="27"/>
      <c r="S9" s="27"/>
    </row>
    <row r="10" spans="1:19" s="29" customFormat="1" ht="30" customHeight="1" x14ac:dyDescent="0.2">
      <c r="A10" s="35" t="s">
        <v>2</v>
      </c>
      <c r="B10" s="268" t="str">
        <f>IF('Buchungsblatt Aufwand'!$B$10:$I$10&lt;&gt;"",'Buchungsblatt Aufwand'!$B$10:$I$10,"")</f>
        <v/>
      </c>
      <c r="C10" s="268"/>
      <c r="D10" s="268"/>
      <c r="E10" s="268"/>
      <c r="F10" s="268"/>
      <c r="G10" s="268"/>
      <c r="H10" s="268"/>
      <c r="I10" s="268"/>
      <c r="J10" s="34"/>
      <c r="P10" s="26"/>
      <c r="Q10" s="26"/>
      <c r="R10" s="26"/>
      <c r="S10" s="26"/>
    </row>
    <row r="11" spans="1:19" s="29" customFormat="1" ht="25.5" customHeight="1" x14ac:dyDescent="0.25">
      <c r="A11" s="36" t="s">
        <v>1</v>
      </c>
      <c r="B11" s="219" t="str">
        <f>IF('Buchungsblatt Aufwand'!$B$11&lt;&gt;"",'Buchungsblatt Aufwand'!$B$11,"")</f>
        <v/>
      </c>
      <c r="C11" s="219" t="str">
        <f>IF('Buchungsblatt Aufwand'!$C$11&lt;&gt;"",'Buchungsblatt Aufwand'!$C$11,"")</f>
        <v/>
      </c>
      <c r="D11" s="269" t="str">
        <f>IF('Buchungsblatt Aufwand'!$D$11:$E$11&lt;&gt;"",'Buchungsblatt Aufwand'!$D$11:$E$11,"")</f>
        <v/>
      </c>
      <c r="E11" s="269"/>
      <c r="F11" s="219" t="str">
        <f>IF('Buchungsblatt Aufwand'!$F$11&lt;&gt;"",'Buchungsblatt Aufwand'!$F$11,"")</f>
        <v/>
      </c>
      <c r="G11" s="269" t="str">
        <f>IF('Buchungsblatt Aufwand'!$G$11:$H$11&lt;&gt;"",'Buchungsblatt Aufwand'!$G$11:$H$11,"")</f>
        <v/>
      </c>
      <c r="H11" s="269"/>
      <c r="I11" s="219" t="str">
        <f>IF('Buchungsblatt Aufwand'!$I$11&lt;&gt;"",'Buchungsblatt Aufwand'!$I$11,"")</f>
        <v/>
      </c>
      <c r="J11" s="37"/>
      <c r="K11" s="168"/>
      <c r="P11" s="26"/>
      <c r="Q11" s="26"/>
      <c r="R11" s="26"/>
      <c r="S11" s="26"/>
    </row>
    <row r="12" spans="1:19" s="29" customFormat="1" ht="4.5" customHeight="1" x14ac:dyDescent="0.2">
      <c r="A12" s="105"/>
      <c r="B12" s="106"/>
      <c r="C12" s="107"/>
      <c r="D12" s="108"/>
      <c r="E12" s="109"/>
      <c r="F12" s="107"/>
      <c r="G12" s="108"/>
      <c r="H12" s="109"/>
      <c r="I12" s="107"/>
      <c r="J12" s="110"/>
      <c r="K12" s="171"/>
      <c r="L12" s="112"/>
      <c r="M12" s="112"/>
      <c r="N12" s="112"/>
      <c r="O12" s="112"/>
      <c r="P12" s="26"/>
      <c r="Q12" s="26"/>
      <c r="R12" s="26"/>
      <c r="S12" s="26"/>
    </row>
    <row r="13" spans="1:19" s="29" customFormat="1" ht="14.25" customHeight="1" x14ac:dyDescent="0.2">
      <c r="A13" s="113"/>
      <c r="B13" s="114"/>
      <c r="C13" s="114"/>
      <c r="D13" s="114"/>
      <c r="E13" s="114"/>
      <c r="F13" s="114"/>
      <c r="G13" s="114"/>
      <c r="H13" s="114"/>
      <c r="I13" s="114"/>
      <c r="J13" s="115"/>
      <c r="K13" s="112"/>
      <c r="L13" s="112"/>
      <c r="M13" s="112"/>
      <c r="N13" s="112"/>
      <c r="O13" s="112"/>
      <c r="P13" s="26"/>
      <c r="Q13" s="26"/>
      <c r="R13" s="26"/>
      <c r="S13" s="26"/>
    </row>
    <row r="14" spans="1:19" s="29" customFormat="1" ht="40.5" customHeight="1" x14ac:dyDescent="0.2">
      <c r="A14" s="116" t="s">
        <v>89</v>
      </c>
      <c r="B14" s="117"/>
      <c r="C14" s="117"/>
      <c r="D14" s="117"/>
      <c r="E14" s="117"/>
      <c r="F14" s="117"/>
      <c r="G14" s="117"/>
      <c r="H14" s="117"/>
      <c r="I14" s="117"/>
      <c r="J14" s="117"/>
      <c r="K14" s="112"/>
      <c r="L14" s="112"/>
      <c r="M14" s="112"/>
      <c r="N14" s="112"/>
      <c r="O14" s="112"/>
      <c r="P14" s="26"/>
      <c r="Q14" s="26"/>
      <c r="R14" s="26"/>
      <c r="S14" s="26"/>
    </row>
    <row r="15" spans="1:19" s="38" customFormat="1" ht="25.5" customHeight="1" x14ac:dyDescent="0.2">
      <c r="A15" s="118" t="s">
        <v>0</v>
      </c>
      <c r="B15" s="256" t="s">
        <v>3</v>
      </c>
      <c r="C15" s="256"/>
      <c r="D15" s="119"/>
      <c r="E15" s="257" t="s">
        <v>85</v>
      </c>
      <c r="F15" s="258"/>
      <c r="G15" s="119"/>
      <c r="H15" s="259" t="s">
        <v>84</v>
      </c>
      <c r="I15" s="260"/>
      <c r="J15" s="261"/>
      <c r="K15" s="120"/>
      <c r="L15" s="255" t="s">
        <v>116</v>
      </c>
      <c r="M15" s="255"/>
      <c r="N15" s="255"/>
      <c r="O15" s="255"/>
      <c r="P15" s="62"/>
      <c r="Q15" s="62"/>
      <c r="R15" s="62"/>
      <c r="S15" s="62"/>
    </row>
    <row r="16" spans="1:19" s="38" customFormat="1" ht="25.5" customHeight="1" x14ac:dyDescent="0.2">
      <c r="A16" s="121" t="str">
        <f>IF(N16="","",SUMIF(Kassenbuch!$W$20:$W$68,$N16,Kassenbuch!$Y$20:$Y$68))</f>
        <v/>
      </c>
      <c r="B16" s="249" t="str">
        <f>IF(N16&lt;&gt;"",IF(O16=0,O16&amp;LEFT(N16,LEN(N16)-6),LEFT(N16,LEN(N16)-6)),"")</f>
        <v/>
      </c>
      <c r="C16" s="250"/>
      <c r="D16" s="46"/>
      <c r="E16" s="251" t="str">
        <f>IF(N16="","",VALUE(RIGHT($N16,6)))</f>
        <v/>
      </c>
      <c r="F16" s="250"/>
      <c r="G16" s="122"/>
      <c r="H16" s="246" t="str">
        <f t="shared" ref="H16:H31" si="0">IF(E16="","",VLOOKUP($E16,SaKoErtragBuchungsblatt,3,FALSE))</f>
        <v/>
      </c>
      <c r="I16" s="246"/>
      <c r="J16" s="246"/>
      <c r="K16" s="120"/>
      <c r="L16" s="123" t="str">
        <f>IF(ISERROR(SMALL(Kassenbuch!$W$20:$W$68,1)),"",SMALL(Kassenbuch!$W$20:$W$68,1))</f>
        <v/>
      </c>
      <c r="M16" s="124" t="str">
        <f>IF(L16="","",COUNTIF(Kassenbuch!$W$20:$W$68,L16))</f>
        <v/>
      </c>
      <c r="N16" s="123" t="str">
        <f>IF(COUNTIF(M$16:M$64,"&gt;0")&lt;1,"",SMALL(L$16:L$64,SMALL(M$16:M$64,1)))</f>
        <v/>
      </c>
      <c r="O16" s="125" t="str">
        <f t="shared" ref="O16:O31" si="1">IF(N16&lt;&gt;"",VALUE(VLOOKUP(N16,Matrix1,2,FALSE)),"")</f>
        <v/>
      </c>
      <c r="P16" s="62"/>
      <c r="Q16" s="62"/>
      <c r="R16" s="62"/>
      <c r="S16" s="62"/>
    </row>
    <row r="17" spans="1:19" s="38" customFormat="1" ht="25.5" customHeight="1" x14ac:dyDescent="0.2">
      <c r="A17" s="121" t="str">
        <f>IF(N17="","",SUMIF(Kassenbuch!$W$20:$W$68,$N17,Kassenbuch!$Y$20:$Y$68))</f>
        <v/>
      </c>
      <c r="B17" s="249" t="str">
        <f t="shared" ref="B17:B31" si="2">IF(N17&lt;&gt;"",IF(O17=0,O17&amp;LEFT(N17,LEN(N17)-6),LEFT(N17,LEN(N17)-6)),"")</f>
        <v/>
      </c>
      <c r="C17" s="250"/>
      <c r="D17" s="45"/>
      <c r="E17" s="251" t="str">
        <f t="shared" ref="E17:E31" si="3">IF(N17="","",VALUE(RIGHT($N17,6)))</f>
        <v/>
      </c>
      <c r="F17" s="250"/>
      <c r="G17" s="46"/>
      <c r="H17" s="246" t="str">
        <f t="shared" si="0"/>
        <v/>
      </c>
      <c r="I17" s="246"/>
      <c r="J17" s="246"/>
      <c r="K17" s="120"/>
      <c r="L17" s="123" t="str">
        <f>IF(ISERROR(SMALL(Kassenbuch!$W$20:$W$68,2)),"",SMALL(Kassenbuch!$W$20:$W$68,2))</f>
        <v/>
      </c>
      <c r="M17" s="124" t="str">
        <f>IF(OR(L17="",L17=L16),"",MAX(M$16:M16)+COUNTIF(Kassenbuch!$W$20:$W$68,L17))</f>
        <v/>
      </c>
      <c r="N17" s="123" t="str">
        <f>IF(COUNTIF(M$7:M$64,"&gt;0")&lt;2,"",SMALL(L$7:L$64,SMALL(M$7:M$64,2)))</f>
        <v/>
      </c>
      <c r="O17" s="125" t="str">
        <f t="shared" si="1"/>
        <v/>
      </c>
      <c r="P17" s="62"/>
      <c r="Q17" s="62"/>
      <c r="R17" s="62"/>
      <c r="S17" s="62"/>
    </row>
    <row r="18" spans="1:19" s="38" customFormat="1" ht="25.5" customHeight="1" x14ac:dyDescent="0.2">
      <c r="A18" s="121" t="str">
        <f>IF(N18="","",SUMIF(Kassenbuch!$W$20:$W$68,$N18,Kassenbuch!$Y$20:$Y$68))</f>
        <v/>
      </c>
      <c r="B18" s="249" t="str">
        <f t="shared" si="2"/>
        <v/>
      </c>
      <c r="C18" s="250"/>
      <c r="D18" s="45"/>
      <c r="E18" s="251" t="str">
        <f t="shared" si="3"/>
        <v/>
      </c>
      <c r="F18" s="250"/>
      <c r="G18" s="46"/>
      <c r="H18" s="246" t="str">
        <f t="shared" si="0"/>
        <v/>
      </c>
      <c r="I18" s="246"/>
      <c r="J18" s="246"/>
      <c r="K18" s="120"/>
      <c r="L18" s="123" t="str">
        <f>IF(ISERROR(SMALL(Kassenbuch!$W$20:$W$68,3)),"",SMALL(Kassenbuch!$W$20:$W$68,3))</f>
        <v/>
      </c>
      <c r="M18" s="124" t="str">
        <f>IF(OR(L18="",L18=L17),"",MAX(M$16:M17)+COUNTIF(Kassenbuch!$W$20:$W$68,L18))</f>
        <v/>
      </c>
      <c r="N18" s="123" t="str">
        <f>IF(COUNTIF(M$7:M$64,"&gt;0")&lt;3,"",SMALL(L$7:L$64,SMALL(M$7:M$64,3)))</f>
        <v/>
      </c>
      <c r="O18" s="125" t="str">
        <f t="shared" si="1"/>
        <v/>
      </c>
      <c r="P18" s="62"/>
      <c r="Q18" s="62"/>
      <c r="R18" s="62"/>
      <c r="S18" s="62"/>
    </row>
    <row r="19" spans="1:19" s="38" customFormat="1" ht="25.5" customHeight="1" x14ac:dyDescent="0.2">
      <c r="A19" s="121" t="str">
        <f>IF(N19="","",SUMIF(Kassenbuch!$W$20:$W$68,$N19,Kassenbuch!$Y$20:$Y$68))</f>
        <v/>
      </c>
      <c r="B19" s="249" t="str">
        <f t="shared" si="2"/>
        <v/>
      </c>
      <c r="C19" s="250"/>
      <c r="D19" s="45"/>
      <c r="E19" s="251" t="str">
        <f t="shared" si="3"/>
        <v/>
      </c>
      <c r="F19" s="250"/>
      <c r="G19" s="46"/>
      <c r="H19" s="246" t="str">
        <f t="shared" si="0"/>
        <v/>
      </c>
      <c r="I19" s="246"/>
      <c r="J19" s="246"/>
      <c r="K19" s="120"/>
      <c r="L19" s="123" t="str">
        <f>IF(ISERROR(SMALL(Kassenbuch!$W$20:$W$68,4)),"",SMALL(Kassenbuch!$W$20:$W$68,4))</f>
        <v/>
      </c>
      <c r="M19" s="124" t="str">
        <f>IF(OR(L19="",L19=L18),"",MAX(M$16:M18)+COUNTIF(Kassenbuch!$W$20:$W$68,L19))</f>
        <v/>
      </c>
      <c r="N19" s="123" t="str">
        <f>IF(COUNTIF(M$7:M$64,"&gt;0")&lt;4,"",SMALL(L$7:L$64,SMALL(M$7:M$64,4)))</f>
        <v/>
      </c>
      <c r="O19" s="125" t="str">
        <f t="shared" si="1"/>
        <v/>
      </c>
      <c r="P19" s="62"/>
      <c r="Q19" s="62"/>
      <c r="R19" s="62"/>
      <c r="S19" s="62"/>
    </row>
    <row r="20" spans="1:19" s="38" customFormat="1" ht="25.5" customHeight="1" x14ac:dyDescent="0.2">
      <c r="A20" s="121" t="str">
        <f>IF(N20="","",SUMIF(Kassenbuch!$W$20:$W$68,$N20,Kassenbuch!$Y$20:$Y$68))</f>
        <v/>
      </c>
      <c r="B20" s="249" t="str">
        <f t="shared" si="2"/>
        <v/>
      </c>
      <c r="C20" s="250"/>
      <c r="D20" s="45"/>
      <c r="E20" s="251" t="str">
        <f t="shared" si="3"/>
        <v/>
      </c>
      <c r="F20" s="250"/>
      <c r="G20" s="46"/>
      <c r="H20" s="246" t="str">
        <f t="shared" si="0"/>
        <v/>
      </c>
      <c r="I20" s="246"/>
      <c r="J20" s="246"/>
      <c r="K20" s="120"/>
      <c r="L20" s="123" t="str">
        <f>IF(ISERROR(SMALL(Kassenbuch!$W$20:$W$68,5)),"",SMALL(Kassenbuch!$W$20:$W$68,5))</f>
        <v/>
      </c>
      <c r="M20" s="124" t="str">
        <f>IF(OR(L20="",L20=L19),"",MAX(M$16:M19)+COUNTIF(Kassenbuch!$W$20:$W$68,L20))</f>
        <v/>
      </c>
      <c r="N20" s="123" t="str">
        <f>IF(COUNTIF(M$7:M$64,"&gt;0")&lt;5,"",SMALL(L$7:L$64,SMALL(M$7:M$64,5)))</f>
        <v/>
      </c>
      <c r="O20" s="125" t="str">
        <f t="shared" si="1"/>
        <v/>
      </c>
      <c r="P20" s="62"/>
      <c r="Q20" s="62"/>
      <c r="R20" s="62"/>
      <c r="S20" s="62"/>
    </row>
    <row r="21" spans="1:19" s="38" customFormat="1" ht="25.5" customHeight="1" x14ac:dyDescent="0.2">
      <c r="A21" s="121" t="str">
        <f>IF(N21="","",SUMIF(Kassenbuch!$W$20:$W$68,$N21,Kassenbuch!$Y$20:$Y$68))</f>
        <v/>
      </c>
      <c r="B21" s="249" t="str">
        <f t="shared" si="2"/>
        <v/>
      </c>
      <c r="C21" s="250"/>
      <c r="D21" s="45"/>
      <c r="E21" s="251" t="str">
        <f t="shared" si="3"/>
        <v/>
      </c>
      <c r="F21" s="250"/>
      <c r="G21" s="46"/>
      <c r="H21" s="246" t="str">
        <f t="shared" si="0"/>
        <v/>
      </c>
      <c r="I21" s="246"/>
      <c r="J21" s="246"/>
      <c r="K21" s="120"/>
      <c r="L21" s="123" t="str">
        <f>IF(ISERROR(SMALL(Kassenbuch!$W$20:$W$68,6)),"",SMALL(Kassenbuch!$W$20:$W$68,6))</f>
        <v/>
      </c>
      <c r="M21" s="124" t="str">
        <f>IF(OR(L21="",L21=L20),"",MAX(M$16:M20)+COUNTIF(Kassenbuch!$W$20:$W$68,L21))</f>
        <v/>
      </c>
      <c r="N21" s="123" t="str">
        <f>IF(COUNTIF(M$7:M$64,"&gt;0")&lt;6,"",SMALL(L$7:L$64,SMALL(M$7:M$64,6)))</f>
        <v/>
      </c>
      <c r="O21" s="125" t="str">
        <f t="shared" si="1"/>
        <v/>
      </c>
      <c r="P21" s="62"/>
      <c r="Q21" s="62"/>
      <c r="R21" s="62"/>
      <c r="S21" s="62"/>
    </row>
    <row r="22" spans="1:19" s="38" customFormat="1" ht="25.5" customHeight="1" x14ac:dyDescent="0.2">
      <c r="A22" s="121" t="str">
        <f>IF(N22="","",SUMIF(Kassenbuch!$W$20:$W$68,$N22,Kassenbuch!$Y$20:$Y$68))</f>
        <v/>
      </c>
      <c r="B22" s="249" t="str">
        <f t="shared" si="2"/>
        <v/>
      </c>
      <c r="C22" s="250"/>
      <c r="D22" s="45"/>
      <c r="E22" s="251" t="str">
        <f t="shared" si="3"/>
        <v/>
      </c>
      <c r="F22" s="250"/>
      <c r="G22" s="46"/>
      <c r="H22" s="246" t="str">
        <f t="shared" si="0"/>
        <v/>
      </c>
      <c r="I22" s="246"/>
      <c r="J22" s="246"/>
      <c r="K22" s="120"/>
      <c r="L22" s="123" t="str">
        <f>IF(ISERROR(SMALL(Kassenbuch!$W$20:$W$68,7)),"",SMALL(Kassenbuch!$W$20:$W$68,7))</f>
        <v/>
      </c>
      <c r="M22" s="124" t="str">
        <f>IF(OR(L22="",L22=L21),"",MAX(M$16:M21)+COUNTIF(Kassenbuch!$W$20:$W$68,L22))</f>
        <v/>
      </c>
      <c r="N22" s="123" t="str">
        <f>IF(COUNTIF(M$7:M$64,"&gt;0")&lt;7,"",SMALL(L$7:L$64,SMALL(M$7:M$64,7)))</f>
        <v/>
      </c>
      <c r="O22" s="125" t="str">
        <f t="shared" si="1"/>
        <v/>
      </c>
      <c r="P22" s="62"/>
      <c r="Q22" s="62"/>
      <c r="R22" s="62"/>
      <c r="S22" s="62"/>
    </row>
    <row r="23" spans="1:19" s="38" customFormat="1" ht="25.5" customHeight="1" x14ac:dyDescent="0.2">
      <c r="A23" s="121" t="str">
        <f>IF(N23="","",SUMIF(Kassenbuch!$W$20:$W$68,$N23,Kassenbuch!$Y$20:$Y$68))</f>
        <v/>
      </c>
      <c r="B23" s="249" t="str">
        <f t="shared" si="2"/>
        <v/>
      </c>
      <c r="C23" s="250"/>
      <c r="D23" s="45"/>
      <c r="E23" s="251" t="str">
        <f t="shared" si="3"/>
        <v/>
      </c>
      <c r="F23" s="250"/>
      <c r="G23" s="46"/>
      <c r="H23" s="246" t="str">
        <f t="shared" si="0"/>
        <v/>
      </c>
      <c r="I23" s="246"/>
      <c r="J23" s="246"/>
      <c r="K23" s="120"/>
      <c r="L23" s="123" t="str">
        <f>IF(ISERROR(SMALL(Kassenbuch!$W$20:$W$68,8)),"",SMALL(Kassenbuch!$W$20:$W$68,8))</f>
        <v/>
      </c>
      <c r="M23" s="124" t="str">
        <f>IF(OR(L23="",L23=L22),"",MAX(M$16:M22)+COUNTIF(Kassenbuch!$W$20:$W$68,L23))</f>
        <v/>
      </c>
      <c r="N23" s="123" t="str">
        <f>IF(COUNTIF(M$7:M$64,"&gt;0")&lt;8,"",SMALL(L$7:L$64,SMALL(M$7:M$64,8)))</f>
        <v/>
      </c>
      <c r="O23" s="125" t="str">
        <f t="shared" si="1"/>
        <v/>
      </c>
      <c r="P23" s="62"/>
      <c r="Q23" s="62"/>
      <c r="R23" s="62"/>
      <c r="S23" s="62"/>
    </row>
    <row r="24" spans="1:19" s="38" customFormat="1" ht="25.5" customHeight="1" x14ac:dyDescent="0.2">
      <c r="A24" s="121" t="str">
        <f>IF(N24="","",SUMIF(Kassenbuch!$W$20:$W$68,$N24,Kassenbuch!$Y$20:$Y$68))</f>
        <v/>
      </c>
      <c r="B24" s="249" t="str">
        <f t="shared" si="2"/>
        <v/>
      </c>
      <c r="C24" s="250"/>
      <c r="D24" s="45"/>
      <c r="E24" s="251" t="str">
        <f t="shared" si="3"/>
        <v/>
      </c>
      <c r="F24" s="250"/>
      <c r="G24" s="46"/>
      <c r="H24" s="246" t="str">
        <f t="shared" si="0"/>
        <v/>
      </c>
      <c r="I24" s="246"/>
      <c r="J24" s="246"/>
      <c r="K24" s="120"/>
      <c r="L24" s="123" t="str">
        <f>IF(ISERROR(SMALL(Kassenbuch!$W$20:$W$68,9)),"",SMALL(Kassenbuch!$W$20:$W$68,9))</f>
        <v/>
      </c>
      <c r="M24" s="124" t="str">
        <f>IF(OR(L24="",L24=L23),"",MAX(M$16:M23)+COUNTIF(Kassenbuch!$W$20:$W$68,L24))</f>
        <v/>
      </c>
      <c r="N24" s="123" t="str">
        <f>IF(COUNTIF(M$7:M$64,"&gt;0")&lt;9,"",SMALL(L$7:L$64,SMALL(M$7:M$64,9)))</f>
        <v/>
      </c>
      <c r="O24" s="125" t="str">
        <f t="shared" si="1"/>
        <v/>
      </c>
      <c r="P24" s="62"/>
      <c r="Q24" s="62"/>
      <c r="R24" s="62"/>
      <c r="S24" s="62"/>
    </row>
    <row r="25" spans="1:19" s="38" customFormat="1" ht="25.5" customHeight="1" x14ac:dyDescent="0.2">
      <c r="A25" s="121" t="str">
        <f>IF(N25="","",SUMIF(Kassenbuch!$W$20:$W$68,$N25,Kassenbuch!$Y$20:$Y$68))</f>
        <v/>
      </c>
      <c r="B25" s="249" t="str">
        <f t="shared" si="2"/>
        <v/>
      </c>
      <c r="C25" s="250"/>
      <c r="D25" s="45"/>
      <c r="E25" s="251" t="str">
        <f t="shared" si="3"/>
        <v/>
      </c>
      <c r="F25" s="250"/>
      <c r="G25" s="46"/>
      <c r="H25" s="246" t="str">
        <f t="shared" si="0"/>
        <v/>
      </c>
      <c r="I25" s="246"/>
      <c r="J25" s="246"/>
      <c r="K25" s="120"/>
      <c r="L25" s="123" t="str">
        <f>IF(ISERROR(SMALL(Kassenbuch!$W$20:$W$68,10)),"",SMALL(Kassenbuch!$W$20:$W$68,10))</f>
        <v/>
      </c>
      <c r="M25" s="124" t="str">
        <f>IF(OR(L25="",L25=L24),"",MAX(M$16:M24)+COUNTIF(Kassenbuch!$W$20:$W$68,L25))</f>
        <v/>
      </c>
      <c r="N25" s="123" t="str">
        <f>IF(COUNTIF(M$7:M$64,"&gt;0")&lt;10,"",SMALL(L$7:L$64,SMALL(M$7:M$64,10)))</f>
        <v/>
      </c>
      <c r="O25" s="125" t="str">
        <f t="shared" si="1"/>
        <v/>
      </c>
      <c r="P25" s="62"/>
      <c r="Q25" s="62"/>
      <c r="R25" s="62"/>
      <c r="S25" s="62"/>
    </row>
    <row r="26" spans="1:19" s="38" customFormat="1" ht="25.5" customHeight="1" x14ac:dyDescent="0.2">
      <c r="A26" s="121" t="str">
        <f>IF(N26="","",SUMIF(Kassenbuch!$W$20:$W$68,$N26,Kassenbuch!$Y$20:$Y$68))</f>
        <v/>
      </c>
      <c r="B26" s="249" t="str">
        <f t="shared" si="2"/>
        <v/>
      </c>
      <c r="C26" s="250"/>
      <c r="D26" s="45"/>
      <c r="E26" s="251" t="str">
        <f t="shared" si="3"/>
        <v/>
      </c>
      <c r="F26" s="250"/>
      <c r="G26" s="46"/>
      <c r="H26" s="246" t="str">
        <f t="shared" si="0"/>
        <v/>
      </c>
      <c r="I26" s="246"/>
      <c r="J26" s="246"/>
      <c r="K26" s="120"/>
      <c r="L26" s="123" t="str">
        <f>IF(ISERROR(SMALL(Kassenbuch!$W$20:$W$68,11)),"",SMALL(Kassenbuch!$W$20:$W$68,11))</f>
        <v/>
      </c>
      <c r="M26" s="124" t="str">
        <f>IF(OR(L26="",L26=L25),"",MAX(M$16:M25)+COUNTIF(Kassenbuch!$W$20:$W$68,L26))</f>
        <v/>
      </c>
      <c r="N26" s="123" t="str">
        <f>IF(COUNTIF(M$7:M$64,"&gt;0")&lt;11,"",SMALL(L$7:L$64,SMALL(M$7:M$64,11)))</f>
        <v/>
      </c>
      <c r="O26" s="125" t="str">
        <f t="shared" si="1"/>
        <v/>
      </c>
      <c r="P26" s="62"/>
      <c r="Q26" s="62"/>
      <c r="R26" s="62"/>
      <c r="S26" s="62"/>
    </row>
    <row r="27" spans="1:19" s="38" customFormat="1" ht="25.5" customHeight="1" x14ac:dyDescent="0.2">
      <c r="A27" s="121" t="str">
        <f>IF(N27="","",SUMIF(Kassenbuch!$W$20:$W$68,$N27,Kassenbuch!$Y$20:$Y$68))</f>
        <v/>
      </c>
      <c r="B27" s="249" t="str">
        <f t="shared" si="2"/>
        <v/>
      </c>
      <c r="C27" s="250"/>
      <c r="D27" s="45"/>
      <c r="E27" s="251" t="str">
        <f t="shared" si="3"/>
        <v/>
      </c>
      <c r="F27" s="250"/>
      <c r="G27" s="46"/>
      <c r="H27" s="246" t="str">
        <f t="shared" si="0"/>
        <v/>
      </c>
      <c r="I27" s="246"/>
      <c r="J27" s="246"/>
      <c r="K27" s="120"/>
      <c r="L27" s="123" t="str">
        <f>IF(ISERROR(SMALL(Kassenbuch!$W$20:$W$68,12)),"",SMALL(Kassenbuch!$W$20:$W$68,12))</f>
        <v/>
      </c>
      <c r="M27" s="124" t="str">
        <f>IF(OR(L27="",L27=L26),"",MAX(M$16:M26)+COUNTIF(Kassenbuch!$W$20:$W$68,L27))</f>
        <v/>
      </c>
      <c r="N27" s="123" t="str">
        <f>IF(COUNTIF(M$7:M$64,"&gt;0")&lt;12,"",SMALL(L$7:L$64,SMALL(M$7:M$64,12)))</f>
        <v/>
      </c>
      <c r="O27" s="125" t="str">
        <f t="shared" si="1"/>
        <v/>
      </c>
      <c r="P27" s="62"/>
      <c r="Q27" s="62"/>
      <c r="R27" s="62"/>
      <c r="S27" s="62"/>
    </row>
    <row r="28" spans="1:19" s="38" customFormat="1" ht="25.5" customHeight="1" x14ac:dyDescent="0.2">
      <c r="A28" s="121" t="str">
        <f>IF(N28="","",SUMIF(Kassenbuch!$W$20:$W$68,$N28,Kassenbuch!$Y$20:$Y$68))</f>
        <v/>
      </c>
      <c r="B28" s="249" t="str">
        <f t="shared" si="2"/>
        <v/>
      </c>
      <c r="C28" s="250"/>
      <c r="D28" s="45"/>
      <c r="E28" s="251" t="str">
        <f t="shared" si="3"/>
        <v/>
      </c>
      <c r="F28" s="250"/>
      <c r="G28" s="46"/>
      <c r="H28" s="246" t="str">
        <f t="shared" si="0"/>
        <v/>
      </c>
      <c r="I28" s="246"/>
      <c r="J28" s="246"/>
      <c r="K28" s="120"/>
      <c r="L28" s="123" t="str">
        <f>IF(ISERROR(SMALL(Kassenbuch!$W$20:$W$68,13)),"",SMALL(Kassenbuch!$W$20:$W$68,13))</f>
        <v/>
      </c>
      <c r="M28" s="124" t="str">
        <f>IF(OR(L28="",L28=L27),"",MAX(M$16:M27)+COUNTIF(Kassenbuch!$W$20:$W$68,L28))</f>
        <v/>
      </c>
      <c r="N28" s="123" t="str">
        <f>IF(COUNTIF(M$7:M$64,"&gt;0")&lt;13,"",SMALL(L$7:L$64,SMALL(M$7:M$64,13)))</f>
        <v/>
      </c>
      <c r="O28" s="125" t="str">
        <f t="shared" si="1"/>
        <v/>
      </c>
      <c r="P28" s="62"/>
      <c r="Q28" s="62"/>
      <c r="R28" s="62"/>
      <c r="S28" s="62"/>
    </row>
    <row r="29" spans="1:19" s="38" customFormat="1" ht="25.5" customHeight="1" x14ac:dyDescent="0.2">
      <c r="A29" s="121" t="str">
        <f>IF(N29="","",SUMIF(Kassenbuch!$W$20:$W$68,$N29,Kassenbuch!$Y$20:$Y$68))</f>
        <v/>
      </c>
      <c r="B29" s="249" t="str">
        <f t="shared" si="2"/>
        <v/>
      </c>
      <c r="C29" s="250"/>
      <c r="D29" s="45"/>
      <c r="E29" s="251" t="str">
        <f t="shared" si="3"/>
        <v/>
      </c>
      <c r="F29" s="250"/>
      <c r="G29" s="46"/>
      <c r="H29" s="246" t="str">
        <f t="shared" si="0"/>
        <v/>
      </c>
      <c r="I29" s="246"/>
      <c r="J29" s="246"/>
      <c r="K29" s="120"/>
      <c r="L29" s="123" t="str">
        <f>IF(ISERROR(SMALL(Kassenbuch!$W$20:$W$68,14)),"",SMALL(Kassenbuch!$W$20:$W$68,14))</f>
        <v/>
      </c>
      <c r="M29" s="124" t="str">
        <f>IF(OR(L29="",L29=L28),"",MAX(M$16:M28)+COUNTIF(Kassenbuch!$W$20:$W$68,L29))</f>
        <v/>
      </c>
      <c r="N29" s="123" t="str">
        <f>IF(COUNTIF(M$7:M$64,"&gt;0")&lt;14,"",SMALL(L$7:L$64,SMALL(M$7:M$64,14)))</f>
        <v/>
      </c>
      <c r="O29" s="125" t="str">
        <f t="shared" si="1"/>
        <v/>
      </c>
      <c r="P29" s="62"/>
      <c r="Q29" s="62"/>
      <c r="R29" s="62"/>
      <c r="S29" s="62"/>
    </row>
    <row r="30" spans="1:19" s="38" customFormat="1" ht="25.5" customHeight="1" x14ac:dyDescent="0.2">
      <c r="A30" s="121" t="str">
        <f>IF(N30="","",SUMIF(Kassenbuch!$W$20:$W$68,$N30,Kassenbuch!$Y$20:$Y$68))</f>
        <v/>
      </c>
      <c r="B30" s="249" t="str">
        <f t="shared" si="2"/>
        <v/>
      </c>
      <c r="C30" s="250"/>
      <c r="D30" s="45"/>
      <c r="E30" s="251" t="str">
        <f t="shared" si="3"/>
        <v/>
      </c>
      <c r="F30" s="250"/>
      <c r="G30" s="46"/>
      <c r="H30" s="246" t="str">
        <f t="shared" si="0"/>
        <v/>
      </c>
      <c r="I30" s="246"/>
      <c r="J30" s="246"/>
      <c r="K30" s="120"/>
      <c r="L30" s="123" t="str">
        <f>IF(ISERROR(SMALL(Kassenbuch!$W$20:$W$68,15)),"",SMALL(Kassenbuch!$W$20:$W$68,15))</f>
        <v/>
      </c>
      <c r="M30" s="124" t="str">
        <f>IF(OR(L30="",L30=L29),"",MAX(M$16:M29)+COUNTIF(Kassenbuch!$W$20:$W$68,L30))</f>
        <v/>
      </c>
      <c r="N30" s="123" t="str">
        <f>IF(COUNTIF(M$7:M$64,"&gt;0")&lt;15,"",SMALL(L$7:L$64,SMALL(M$7:M$64,15)))</f>
        <v/>
      </c>
      <c r="O30" s="125" t="str">
        <f t="shared" si="1"/>
        <v/>
      </c>
      <c r="P30" s="62"/>
      <c r="Q30" s="62"/>
      <c r="R30" s="62"/>
      <c r="S30" s="62"/>
    </row>
    <row r="31" spans="1:19" s="38" customFormat="1" ht="25.5" customHeight="1" x14ac:dyDescent="0.2">
      <c r="A31" s="121" t="str">
        <f>IF(N31="","",SUMIF(Kassenbuch!$W$20:$W$68,$N31,Kassenbuch!$Y$20:$Y$68))</f>
        <v/>
      </c>
      <c r="B31" s="249" t="str">
        <f t="shared" si="2"/>
        <v/>
      </c>
      <c r="C31" s="250"/>
      <c r="D31" s="45"/>
      <c r="E31" s="251" t="str">
        <f t="shared" si="3"/>
        <v/>
      </c>
      <c r="F31" s="250"/>
      <c r="G31" s="46"/>
      <c r="H31" s="246" t="str">
        <f t="shared" si="0"/>
        <v/>
      </c>
      <c r="I31" s="246"/>
      <c r="J31" s="246"/>
      <c r="K31" s="120"/>
      <c r="L31" s="123" t="str">
        <f>IF(ISERROR(SMALL(Kassenbuch!$W$20:$W$68,16)),"",SMALL(Kassenbuch!$W$20:$W$68,16))</f>
        <v/>
      </c>
      <c r="M31" s="124" t="str">
        <f>IF(OR(L31="",L31=L30),"",MAX(M$16:M30)+COUNTIF(Kassenbuch!$W$20:$W$68,L31))</f>
        <v/>
      </c>
      <c r="N31" s="123" t="str">
        <f>IF(COUNTIF(M$7:M$64,"&gt;0")&lt;16,"",SMALL(L$7:L$64,SMALL(M$7:M$64,16)))</f>
        <v/>
      </c>
      <c r="O31" s="125" t="str">
        <f t="shared" si="1"/>
        <v/>
      </c>
      <c r="P31" s="62"/>
      <c r="Q31" s="62"/>
      <c r="R31" s="62"/>
      <c r="S31" s="62"/>
    </row>
    <row r="32" spans="1:19" s="38" customFormat="1" ht="25.5" customHeight="1" x14ac:dyDescent="0.2">
      <c r="A32" s="126" t="str">
        <f>IF(A16&lt;&gt;"",SUM(A16:A31),"")</f>
        <v/>
      </c>
      <c r="B32" s="252" t="str">
        <f>IF(A32="","","Gesamtbetrag")</f>
        <v/>
      </c>
      <c r="C32" s="252"/>
      <c r="D32" s="127"/>
      <c r="E32" s="253"/>
      <c r="F32" s="253"/>
      <c r="G32" s="170"/>
      <c r="H32" s="253"/>
      <c r="I32" s="253"/>
      <c r="J32" s="253"/>
      <c r="K32" s="120"/>
      <c r="L32" s="123" t="str">
        <f>IF(ISERROR(SMALL(Kassenbuch!$W$20:$W$68,17)),"",SMALL(Kassenbuch!$W$20:$W$68,17))</f>
        <v/>
      </c>
      <c r="M32" s="124" t="str">
        <f>IF(OR(L32="",L32=L31),"",MAX(M$16:M31)+COUNTIF(Kassenbuch!$W$20:$W$68,L32))</f>
        <v/>
      </c>
      <c r="N32" s="129"/>
      <c r="O32" s="130"/>
      <c r="P32" s="62"/>
      <c r="Q32" s="62"/>
      <c r="R32" s="62"/>
      <c r="S32" s="62"/>
    </row>
    <row r="33" spans="1:19" s="29" customFormat="1" ht="37.5" customHeight="1" x14ac:dyDescent="0.2">
      <c r="A33" s="131"/>
      <c r="B33" s="254"/>
      <c r="C33" s="254"/>
      <c r="D33" s="171"/>
      <c r="E33" s="254"/>
      <c r="F33" s="254"/>
      <c r="G33" s="254"/>
      <c r="H33" s="254"/>
      <c r="I33" s="254"/>
      <c r="J33" s="254"/>
      <c r="K33" s="112"/>
      <c r="L33" s="123" t="str">
        <f>IF(ISERROR(SMALL(Kassenbuch!$W$20:$W$68,18)),"",SMALL(Kassenbuch!$W$20:$W$68,18))</f>
        <v/>
      </c>
      <c r="M33" s="124" t="str">
        <f>IF(OR(L33="",L33=L32),"",MAX(M$16:M32)+COUNTIF(Kassenbuch!$W$20:$W$68,L33))</f>
        <v/>
      </c>
      <c r="N33" s="129"/>
      <c r="O33" s="130"/>
      <c r="P33" s="62"/>
      <c r="Q33" s="26"/>
      <c r="R33" s="26"/>
      <c r="S33" s="26"/>
    </row>
    <row r="34" spans="1:19" s="29" customFormat="1" ht="17.25" customHeight="1" x14ac:dyDescent="0.2">
      <c r="A34" s="132" t="s">
        <v>167</v>
      </c>
      <c r="B34" s="247"/>
      <c r="C34" s="247"/>
      <c r="D34" s="247"/>
      <c r="E34" s="247"/>
      <c r="F34" s="248" t="s">
        <v>168</v>
      </c>
      <c r="G34" s="248"/>
      <c r="H34" s="248"/>
      <c r="I34" s="248"/>
      <c r="J34" s="248"/>
      <c r="K34" s="112"/>
      <c r="L34" s="123" t="str">
        <f>IF(ISERROR(SMALL(Kassenbuch!$W$20:$W$68,19)),"",SMALL(Kassenbuch!$W$20:$W$68,19))</f>
        <v/>
      </c>
      <c r="M34" s="124" t="str">
        <f>IF(OR(L34="",L34=L33),"",MAX(M$16:M33)+COUNTIF(Kassenbuch!$W$20:$W$68,L34))</f>
        <v/>
      </c>
      <c r="N34" s="129"/>
      <c r="O34" s="130"/>
      <c r="P34" s="62"/>
      <c r="Q34" s="26"/>
      <c r="R34" s="26"/>
      <c r="S34" s="26"/>
    </row>
    <row r="35" spans="1:19" ht="15" x14ac:dyDescent="0.2">
      <c r="A35" s="65"/>
      <c r="B35" s="65"/>
      <c r="C35" s="65"/>
      <c r="D35" s="65"/>
      <c r="E35" s="65"/>
      <c r="F35" s="65"/>
      <c r="G35" s="65"/>
      <c r="H35" s="65"/>
      <c r="I35" s="65"/>
      <c r="J35" s="65"/>
      <c r="K35" s="65"/>
      <c r="L35" s="123" t="str">
        <f>IF(ISERROR(SMALL(Kassenbuch!$W$20:$W$68,20)),"",SMALL(Kassenbuch!$W$20:$W$68,20))</f>
        <v/>
      </c>
      <c r="M35" s="124" t="str">
        <f>IF(OR(L35="",L35=L34),"",MAX(M$16:M34)+COUNTIF(Kassenbuch!$W$20:$W$68,L35))</f>
        <v/>
      </c>
      <c r="N35" s="129"/>
      <c r="O35" s="130"/>
      <c r="P35" s="62"/>
    </row>
    <row r="36" spans="1:19" ht="15" x14ac:dyDescent="0.2">
      <c r="A36" s="65"/>
      <c r="B36" s="65"/>
      <c r="C36" s="65"/>
      <c r="D36" s="65"/>
      <c r="E36" s="65"/>
      <c r="F36" s="65"/>
      <c r="G36" s="65"/>
      <c r="H36" s="65"/>
      <c r="I36" s="65"/>
      <c r="J36" s="65"/>
      <c r="K36" s="65"/>
      <c r="L36" s="123" t="str">
        <f>IF(ISERROR(SMALL(Kassenbuch!$W$20:$W$68,21)),"",SMALL(Kassenbuch!$W$20:$W$68,21))</f>
        <v/>
      </c>
      <c r="M36" s="124" t="str">
        <f>IF(OR(L36="",L36=L35),"",MAX(M$16:M35)+COUNTIF(Kassenbuch!$W$20:$W$68,L36))</f>
        <v/>
      </c>
      <c r="N36" s="129"/>
      <c r="O36" s="130"/>
      <c r="P36" s="62"/>
    </row>
    <row r="37" spans="1:19" ht="15" x14ac:dyDescent="0.2">
      <c r="A37" s="65"/>
      <c r="B37" s="65"/>
      <c r="C37" s="65"/>
      <c r="D37" s="65"/>
      <c r="E37" s="65"/>
      <c r="F37" s="65"/>
      <c r="G37" s="65"/>
      <c r="H37" s="65"/>
      <c r="I37" s="65"/>
      <c r="J37" s="65"/>
      <c r="K37" s="65"/>
      <c r="L37" s="123" t="str">
        <f>IF(ISERROR(SMALL(Kassenbuch!$W$20:$W$68,22)),"",SMALL(Kassenbuch!$W$20:$W$68,22))</f>
        <v/>
      </c>
      <c r="M37" s="124" t="str">
        <f>IF(OR(L37="",L37=L36),"",MAX(M$16:M36)+COUNTIF(Kassenbuch!$W$20:$W$68,L37))</f>
        <v/>
      </c>
      <c r="N37" s="129"/>
      <c r="O37" s="130"/>
      <c r="P37" s="62"/>
    </row>
    <row r="38" spans="1:19" ht="15" x14ac:dyDescent="0.2">
      <c r="A38" s="65"/>
      <c r="B38" s="65"/>
      <c r="C38" s="65"/>
      <c r="D38" s="65"/>
      <c r="E38" s="65"/>
      <c r="F38" s="65"/>
      <c r="G38" s="65"/>
      <c r="H38" s="65"/>
      <c r="I38" s="65"/>
      <c r="J38" s="65"/>
      <c r="K38" s="65"/>
      <c r="L38" s="123" t="str">
        <f>IF(ISERROR(SMALL(Kassenbuch!$W$20:$W$68,23)),"",SMALL(Kassenbuch!$W$20:$W$68,23))</f>
        <v/>
      </c>
      <c r="M38" s="124" t="str">
        <f>IF(OR(L38="",L38=L37),"",MAX(M$16:M37)+COUNTIF(Kassenbuch!$W$20:$W$68,L38))</f>
        <v/>
      </c>
      <c r="N38" s="129"/>
      <c r="O38" s="130"/>
      <c r="P38" s="62"/>
    </row>
    <row r="39" spans="1:19" ht="15" x14ac:dyDescent="0.2">
      <c r="A39" s="65"/>
      <c r="B39" s="65"/>
      <c r="C39" s="65"/>
      <c r="D39" s="65"/>
      <c r="E39" s="65"/>
      <c r="F39" s="65"/>
      <c r="G39" s="65"/>
      <c r="H39" s="65"/>
      <c r="I39" s="65"/>
      <c r="J39" s="65"/>
      <c r="K39" s="65"/>
      <c r="L39" s="123" t="str">
        <f>IF(ISERROR(SMALL(Kassenbuch!$W$20:$W$68,24)),"",SMALL(Kassenbuch!$W$20:$W$68,24))</f>
        <v/>
      </c>
      <c r="M39" s="124" t="str">
        <f>IF(OR(L39="",L39=L38),"",MAX(M$16:M38)+COUNTIF(Kassenbuch!$W$20:$W$68,L39))</f>
        <v/>
      </c>
      <c r="N39" s="129"/>
      <c r="O39" s="130"/>
      <c r="P39" s="62"/>
    </row>
    <row r="40" spans="1:19" ht="15" x14ac:dyDescent="0.2">
      <c r="A40" s="65"/>
      <c r="B40" s="65"/>
      <c r="C40" s="65"/>
      <c r="D40" s="65"/>
      <c r="E40" s="65"/>
      <c r="F40" s="65"/>
      <c r="G40" s="65"/>
      <c r="H40" s="65"/>
      <c r="I40" s="65"/>
      <c r="J40" s="65"/>
      <c r="K40" s="65"/>
      <c r="L40" s="123" t="str">
        <f>IF(ISERROR(SMALL(Kassenbuch!$W$20:$W$68,25)),"",SMALL(Kassenbuch!$W$20:$W$68,25))</f>
        <v/>
      </c>
      <c r="M40" s="124" t="str">
        <f>IF(OR(L40="",L40=L39),"",MAX(M$16:M39)+COUNTIF(Kassenbuch!$W$20:$W$68,L40))</f>
        <v/>
      </c>
      <c r="N40" s="129"/>
      <c r="O40" s="130"/>
      <c r="P40" s="62"/>
    </row>
    <row r="41" spans="1:19" ht="15" x14ac:dyDescent="0.2">
      <c r="A41" s="65"/>
      <c r="B41" s="65"/>
      <c r="C41" s="65"/>
      <c r="D41" s="65"/>
      <c r="E41" s="65"/>
      <c r="F41" s="65"/>
      <c r="G41" s="65"/>
      <c r="H41" s="65"/>
      <c r="I41" s="65"/>
      <c r="J41" s="65"/>
      <c r="K41" s="65"/>
      <c r="L41" s="123" t="str">
        <f>IF(ISERROR(SMALL(Kassenbuch!$W$20:$W$68,26)),"",SMALL(Kassenbuch!$W$20:$W$68,26))</f>
        <v/>
      </c>
      <c r="M41" s="124" t="str">
        <f>IF(OR(L41="",L41=L40),"",MAX(M$16:M40)+COUNTIF(Kassenbuch!$W$20:$W$68,L41))</f>
        <v/>
      </c>
      <c r="N41" s="129"/>
      <c r="O41" s="130"/>
      <c r="P41" s="62"/>
    </row>
    <row r="42" spans="1:19" ht="15" x14ac:dyDescent="0.2">
      <c r="A42" s="65"/>
      <c r="B42" s="65"/>
      <c r="C42" s="65"/>
      <c r="D42" s="65"/>
      <c r="E42" s="65"/>
      <c r="F42" s="65"/>
      <c r="G42" s="65"/>
      <c r="H42" s="65"/>
      <c r="I42" s="65"/>
      <c r="J42" s="65"/>
      <c r="K42" s="65"/>
      <c r="L42" s="123" t="str">
        <f>IF(ISERROR(SMALL(Kassenbuch!$W$20:$W$68,27)),"",SMALL(Kassenbuch!$W$20:$W$68,27))</f>
        <v/>
      </c>
      <c r="M42" s="124" t="str">
        <f>IF(OR(L42="",L42=L41),"",MAX(M$16:M41)+COUNTIF(Kassenbuch!$W$20:$W$68,L42))</f>
        <v/>
      </c>
      <c r="N42" s="129"/>
      <c r="O42" s="130"/>
      <c r="P42" s="62"/>
    </row>
    <row r="43" spans="1:19" ht="15" x14ac:dyDescent="0.2">
      <c r="A43" s="65"/>
      <c r="B43" s="65"/>
      <c r="C43" s="65"/>
      <c r="D43" s="65"/>
      <c r="E43" s="65"/>
      <c r="F43" s="65"/>
      <c r="G43" s="65"/>
      <c r="H43" s="65"/>
      <c r="I43" s="65"/>
      <c r="J43" s="65"/>
      <c r="K43" s="65"/>
      <c r="L43" s="123" t="str">
        <f>IF(ISERROR(SMALL(Kassenbuch!$W$20:$W$68,28)),"",SMALL(Kassenbuch!$W$20:$W$68,28))</f>
        <v/>
      </c>
      <c r="M43" s="124" t="str">
        <f>IF(OR(L43="",L43=L42),"",MAX(M$16:M42)+COUNTIF(Kassenbuch!$W$20:$W$68,L43))</f>
        <v/>
      </c>
      <c r="N43" s="129"/>
      <c r="O43" s="130"/>
      <c r="P43" s="62"/>
    </row>
    <row r="44" spans="1:19" ht="15" x14ac:dyDescent="0.2">
      <c r="A44" s="65"/>
      <c r="B44" s="65"/>
      <c r="C44" s="65"/>
      <c r="D44" s="65"/>
      <c r="E44" s="65"/>
      <c r="F44" s="65"/>
      <c r="G44" s="65"/>
      <c r="H44" s="65"/>
      <c r="I44" s="65"/>
      <c r="J44" s="65"/>
      <c r="K44" s="65"/>
      <c r="L44" s="123" t="str">
        <f>IF(ISERROR(SMALL(Kassenbuch!$W$20:$W$68,29)),"",SMALL(Kassenbuch!$W$20:$W$68,29))</f>
        <v/>
      </c>
      <c r="M44" s="124" t="str">
        <f>IF(OR(L44="",L44=L43),"",MAX(M$16:M43)+COUNTIF(Kassenbuch!$W$20:$W$68,L44))</f>
        <v/>
      </c>
      <c r="N44" s="129"/>
      <c r="O44" s="130"/>
      <c r="P44" s="62"/>
    </row>
    <row r="45" spans="1:19" ht="15" x14ac:dyDescent="0.2">
      <c r="A45" s="65"/>
      <c r="B45" s="65"/>
      <c r="C45" s="65"/>
      <c r="D45" s="65"/>
      <c r="E45" s="65"/>
      <c r="F45" s="65"/>
      <c r="G45" s="65"/>
      <c r="H45" s="65"/>
      <c r="I45" s="65"/>
      <c r="J45" s="65"/>
      <c r="K45" s="65"/>
      <c r="L45" s="123" t="str">
        <f>IF(ISERROR(SMALL(Kassenbuch!$W$20:$W$68,30)),"",SMALL(Kassenbuch!$W$20:$W$68,30))</f>
        <v/>
      </c>
      <c r="M45" s="124" t="str">
        <f>IF(OR(L45="",L45=L44),"",MAX(M$16:M44)+COUNTIF(Kassenbuch!$W$20:$W$68,L45))</f>
        <v/>
      </c>
      <c r="N45" s="129"/>
      <c r="O45" s="130"/>
      <c r="P45" s="62"/>
    </row>
    <row r="46" spans="1:19" ht="15" x14ac:dyDescent="0.2">
      <c r="A46" s="65"/>
      <c r="B46" s="65"/>
      <c r="C46" s="65"/>
      <c r="D46" s="65"/>
      <c r="E46" s="65"/>
      <c r="F46" s="65"/>
      <c r="G46" s="65"/>
      <c r="H46" s="65"/>
      <c r="I46" s="65"/>
      <c r="J46" s="65"/>
      <c r="K46" s="65"/>
      <c r="L46" s="123" t="str">
        <f>IF(ISERROR(SMALL(Kassenbuch!$W$20:$W$68,31)),"",SMALL(Kassenbuch!$W$20:$W$68,31))</f>
        <v/>
      </c>
      <c r="M46" s="124" t="str">
        <f>IF(OR(L46="",L46=L45),"",MAX(M$16:M45)+COUNTIF(Kassenbuch!$W$20:$W$68,L46))</f>
        <v/>
      </c>
      <c r="N46" s="129"/>
      <c r="O46" s="130"/>
      <c r="P46" s="62"/>
    </row>
    <row r="47" spans="1:19" ht="15" x14ac:dyDescent="0.2">
      <c r="A47" s="65"/>
      <c r="B47" s="65"/>
      <c r="C47" s="65"/>
      <c r="D47" s="65"/>
      <c r="E47" s="65"/>
      <c r="F47" s="65"/>
      <c r="G47" s="65"/>
      <c r="H47" s="65"/>
      <c r="I47" s="65"/>
      <c r="J47" s="65"/>
      <c r="K47" s="65"/>
      <c r="L47" s="123" t="str">
        <f>IF(ISERROR(SMALL(Kassenbuch!$W$20:$W$68,32)),"",SMALL(Kassenbuch!$W$20:$W$68,32))</f>
        <v/>
      </c>
      <c r="M47" s="124" t="str">
        <f>IF(OR(L47="",L47=L46),"",MAX(M$16:M46)+COUNTIF(Kassenbuch!$W$20:$W$68,L47))</f>
        <v/>
      </c>
      <c r="N47" s="129"/>
      <c r="O47" s="130"/>
      <c r="P47" s="62"/>
    </row>
    <row r="48" spans="1:19" ht="15" x14ac:dyDescent="0.2">
      <c r="A48" s="65"/>
      <c r="B48" s="65"/>
      <c r="C48" s="65"/>
      <c r="D48" s="65"/>
      <c r="E48" s="65"/>
      <c r="F48" s="65"/>
      <c r="G48" s="65"/>
      <c r="H48" s="65"/>
      <c r="I48" s="65"/>
      <c r="J48" s="65"/>
      <c r="K48" s="65"/>
      <c r="L48" s="123" t="str">
        <f>IF(ISERROR(SMALL(Kassenbuch!$W$20:$W$68,33)),"",SMALL(Kassenbuch!$W$20:$W$68,33))</f>
        <v/>
      </c>
      <c r="M48" s="124" t="str">
        <f>IF(OR(L48="",L48=L47),"",MAX(M$16:M47)+COUNTIF(Kassenbuch!$W$20:$W$68,L48))</f>
        <v/>
      </c>
      <c r="N48" s="129"/>
      <c r="O48" s="130"/>
      <c r="P48" s="62"/>
    </row>
    <row r="49" spans="1:16" ht="15" x14ac:dyDescent="0.2">
      <c r="A49" s="65"/>
      <c r="B49" s="65"/>
      <c r="C49" s="65"/>
      <c r="D49" s="65"/>
      <c r="E49" s="65"/>
      <c r="F49" s="65"/>
      <c r="G49" s="65"/>
      <c r="H49" s="65"/>
      <c r="I49" s="65"/>
      <c r="J49" s="65"/>
      <c r="K49" s="65"/>
      <c r="L49" s="123" t="str">
        <f>IF(ISERROR(SMALL(Kassenbuch!$W$20:$W$68,34)),"",SMALL(Kassenbuch!$W$20:$W$68,34))</f>
        <v/>
      </c>
      <c r="M49" s="124" t="str">
        <f>IF(OR(L49="",L49=L48),"",MAX(M$16:M48)+COUNTIF(Kassenbuch!$W$20:$W$68,L49))</f>
        <v/>
      </c>
      <c r="N49" s="129"/>
      <c r="O49" s="130"/>
      <c r="P49" s="62"/>
    </row>
    <row r="50" spans="1:16" ht="15" x14ac:dyDescent="0.2">
      <c r="A50" s="65"/>
      <c r="B50" s="65"/>
      <c r="C50" s="65"/>
      <c r="D50" s="65"/>
      <c r="E50" s="65"/>
      <c r="F50" s="65"/>
      <c r="G50" s="65"/>
      <c r="H50" s="65"/>
      <c r="I50" s="65"/>
      <c r="J50" s="65"/>
      <c r="K50" s="65"/>
      <c r="L50" s="123" t="str">
        <f>IF(ISERROR(SMALL(Kassenbuch!$W$20:$W$68,35)),"",SMALL(Kassenbuch!$W$20:$W$68,35))</f>
        <v/>
      </c>
      <c r="M50" s="124" t="str">
        <f>IF(OR(L50="",L50=L49),"",MAX(M$16:M49)+COUNTIF(Kassenbuch!$W$20:$W$68,L50))</f>
        <v/>
      </c>
      <c r="N50" s="129"/>
      <c r="O50" s="130"/>
      <c r="P50" s="62"/>
    </row>
    <row r="51" spans="1:16" ht="15" x14ac:dyDescent="0.2">
      <c r="A51" s="65"/>
      <c r="B51" s="65"/>
      <c r="C51" s="65"/>
      <c r="D51" s="65"/>
      <c r="E51" s="65"/>
      <c r="F51" s="65"/>
      <c r="G51" s="65"/>
      <c r="H51" s="65"/>
      <c r="I51" s="65"/>
      <c r="J51" s="65"/>
      <c r="K51" s="65"/>
      <c r="L51" s="123" t="str">
        <f>IF(ISERROR(SMALL(Kassenbuch!$W$20:$W$68,36)),"",SMALL(Kassenbuch!$W$20:$W$68,36))</f>
        <v/>
      </c>
      <c r="M51" s="124" t="str">
        <f>IF(OR(L51="",L51=L50),"",MAX(M$16:M50)+COUNTIF(Kassenbuch!$W$20:$W$68,L51))</f>
        <v/>
      </c>
      <c r="N51" s="129"/>
      <c r="O51" s="130"/>
      <c r="P51" s="62"/>
    </row>
    <row r="52" spans="1:16" ht="15" x14ac:dyDescent="0.2">
      <c r="A52" s="65"/>
      <c r="B52" s="65"/>
      <c r="C52" s="65"/>
      <c r="D52" s="65"/>
      <c r="E52" s="65"/>
      <c r="F52" s="65"/>
      <c r="G52" s="65"/>
      <c r="H52" s="65"/>
      <c r="I52" s="65"/>
      <c r="J52" s="65"/>
      <c r="K52" s="65"/>
      <c r="L52" s="123" t="str">
        <f>IF(ISERROR(SMALL(Kassenbuch!$W$20:$W$68,37)),"",SMALL(Kassenbuch!$W$20:$W$68,37))</f>
        <v/>
      </c>
      <c r="M52" s="124" t="str">
        <f>IF(OR(L52="",L52=L51),"",MAX(M$16:M51)+COUNTIF(Kassenbuch!$W$20:$W$68,L52))</f>
        <v/>
      </c>
      <c r="N52" s="129"/>
      <c r="O52" s="130"/>
      <c r="P52" s="62"/>
    </row>
    <row r="53" spans="1:16" ht="15" x14ac:dyDescent="0.2">
      <c r="A53" s="65"/>
      <c r="B53" s="65"/>
      <c r="C53" s="65"/>
      <c r="D53" s="65"/>
      <c r="E53" s="65"/>
      <c r="F53" s="65"/>
      <c r="G53" s="65"/>
      <c r="H53" s="65"/>
      <c r="I53" s="65"/>
      <c r="J53" s="65"/>
      <c r="K53" s="65"/>
      <c r="L53" s="123" t="str">
        <f>IF(ISERROR(SMALL(Kassenbuch!$W$20:$W$68,38)),"",SMALL(Kassenbuch!$W$20:$W$68,38))</f>
        <v/>
      </c>
      <c r="M53" s="124" t="str">
        <f>IF(OR(L53="",L53=L52),"",MAX(M$16:M52)+COUNTIF(Kassenbuch!$W$20:$W$68,L53))</f>
        <v/>
      </c>
      <c r="N53" s="129"/>
      <c r="O53" s="130"/>
      <c r="P53" s="62"/>
    </row>
    <row r="54" spans="1:16" ht="15" x14ac:dyDescent="0.2">
      <c r="A54" s="65"/>
      <c r="B54" s="65"/>
      <c r="C54" s="65"/>
      <c r="D54" s="65"/>
      <c r="E54" s="65"/>
      <c r="F54" s="65"/>
      <c r="G54" s="65"/>
      <c r="H54" s="65"/>
      <c r="I54" s="65"/>
      <c r="J54" s="65"/>
      <c r="K54" s="65"/>
      <c r="L54" s="123" t="str">
        <f>IF(ISERROR(SMALL(Kassenbuch!$W$20:$W$68,39)),"",SMALL(Kassenbuch!$W$20:$W$68,39))</f>
        <v/>
      </c>
      <c r="M54" s="124" t="str">
        <f>IF(OR(L54="",L54=L53),"",MAX(M$16:M53)+COUNTIF(Kassenbuch!$W$20:$W$68,L54))</f>
        <v/>
      </c>
      <c r="N54" s="129"/>
      <c r="O54" s="130"/>
      <c r="P54" s="62"/>
    </row>
    <row r="55" spans="1:16" ht="15" x14ac:dyDescent="0.2">
      <c r="A55" s="65"/>
      <c r="B55" s="65"/>
      <c r="C55" s="65"/>
      <c r="D55" s="65"/>
      <c r="E55" s="65"/>
      <c r="F55" s="65"/>
      <c r="G55" s="65"/>
      <c r="H55" s="65"/>
      <c r="I55" s="65"/>
      <c r="J55" s="65"/>
      <c r="K55" s="65"/>
      <c r="L55" s="123" t="str">
        <f>IF(ISERROR(SMALL(Kassenbuch!$W$20:$W$68,40)),"",SMALL(Kassenbuch!$W$20:$W$68,40))</f>
        <v/>
      </c>
      <c r="M55" s="124" t="str">
        <f>IF(OR(L55="",L55=L54),"",MAX(M$16:M54)+COUNTIF(Kassenbuch!$W$20:$W$68,L55))</f>
        <v/>
      </c>
      <c r="N55" s="129"/>
      <c r="O55" s="130"/>
      <c r="P55" s="62"/>
    </row>
    <row r="56" spans="1:16" ht="15" x14ac:dyDescent="0.2">
      <c r="A56" s="65"/>
      <c r="B56" s="65"/>
      <c r="C56" s="65"/>
      <c r="D56" s="65"/>
      <c r="E56" s="65"/>
      <c r="F56" s="65"/>
      <c r="G56" s="65"/>
      <c r="H56" s="65"/>
      <c r="I56" s="65"/>
      <c r="J56" s="65"/>
      <c r="K56" s="65"/>
      <c r="L56" s="123" t="str">
        <f>IF(ISERROR(SMALL(Kassenbuch!$W$20:$W$68,41)),"",SMALL(Kassenbuch!$W$20:$W$68,41))</f>
        <v/>
      </c>
      <c r="M56" s="124" t="str">
        <f>IF(OR(L56="",L56=L55),"",MAX(M$16:M55)+COUNTIF(Kassenbuch!$W$20:$W$68,L56))</f>
        <v/>
      </c>
      <c r="N56" s="129"/>
      <c r="O56" s="130"/>
      <c r="P56" s="62"/>
    </row>
    <row r="57" spans="1:16" ht="15" x14ac:dyDescent="0.2">
      <c r="A57" s="65"/>
      <c r="B57" s="65"/>
      <c r="C57" s="65"/>
      <c r="D57" s="65"/>
      <c r="E57" s="65"/>
      <c r="F57" s="65"/>
      <c r="G57" s="65"/>
      <c r="H57" s="65"/>
      <c r="I57" s="65"/>
      <c r="J57" s="65"/>
      <c r="K57" s="65"/>
      <c r="L57" s="123" t="str">
        <f>IF(ISERROR(SMALL(Kassenbuch!$W$20:$W$68,42)),"",SMALL(Kassenbuch!$W$20:$W$68,42))</f>
        <v/>
      </c>
      <c r="M57" s="124" t="str">
        <f>IF(OR(L57="",L57=L56),"",MAX(M$16:M56)+COUNTIF(Kassenbuch!$W$20:$W$68,L57))</f>
        <v/>
      </c>
      <c r="N57" s="129"/>
      <c r="O57" s="130"/>
      <c r="P57" s="62"/>
    </row>
    <row r="58" spans="1:16" ht="15" x14ac:dyDescent="0.2">
      <c r="A58" s="65"/>
      <c r="B58" s="65"/>
      <c r="C58" s="65"/>
      <c r="D58" s="65"/>
      <c r="E58" s="65"/>
      <c r="F58" s="65"/>
      <c r="G58" s="65"/>
      <c r="H58" s="65"/>
      <c r="I58" s="65"/>
      <c r="J58" s="65"/>
      <c r="K58" s="65"/>
      <c r="L58" s="123" t="str">
        <f>IF(ISERROR(SMALL(Kassenbuch!$W$20:$W$68,43)),"",SMALL(Kassenbuch!$W$20:$W$68,43))</f>
        <v/>
      </c>
      <c r="M58" s="124" t="str">
        <f>IF(OR(L58="",L58=L57),"",MAX(M$16:M57)+COUNTIF(Kassenbuch!$W$20:$W$68,L58))</f>
        <v/>
      </c>
      <c r="N58" s="129"/>
      <c r="O58" s="130"/>
      <c r="P58" s="62"/>
    </row>
    <row r="59" spans="1:16" ht="15" x14ac:dyDescent="0.2">
      <c r="A59" s="65"/>
      <c r="B59" s="65"/>
      <c r="C59" s="65"/>
      <c r="D59" s="65"/>
      <c r="E59" s="65"/>
      <c r="F59" s="65"/>
      <c r="G59" s="65"/>
      <c r="H59" s="65"/>
      <c r="I59" s="65"/>
      <c r="J59" s="65"/>
      <c r="K59" s="65"/>
      <c r="L59" s="123" t="str">
        <f>IF(ISERROR(SMALL(Kassenbuch!$W$20:$W$68,44)),"",SMALL(Kassenbuch!$W$20:$W$68,44))</f>
        <v/>
      </c>
      <c r="M59" s="124" t="str">
        <f>IF(OR(L59="",L59=L58),"",MAX(M$16:M58)+COUNTIF(Kassenbuch!$W$20:$W$68,L59))</f>
        <v/>
      </c>
      <c r="N59" s="129"/>
      <c r="O59" s="130"/>
      <c r="P59" s="62"/>
    </row>
    <row r="60" spans="1:16" ht="15" x14ac:dyDescent="0.2">
      <c r="A60" s="65"/>
      <c r="B60" s="65"/>
      <c r="C60" s="65"/>
      <c r="D60" s="65"/>
      <c r="E60" s="65"/>
      <c r="F60" s="65"/>
      <c r="G60" s="65"/>
      <c r="H60" s="65"/>
      <c r="I60" s="65"/>
      <c r="J60" s="65"/>
      <c r="K60" s="65"/>
      <c r="L60" s="123" t="str">
        <f>IF(ISERROR(SMALL(Kassenbuch!$W$20:$W$68,45)),"",SMALL(Kassenbuch!$W$20:$W$68,45))</f>
        <v/>
      </c>
      <c r="M60" s="124" t="str">
        <f>IF(OR(L60="",L60=L59),"",MAX(M$16:M59)+COUNTIF(Kassenbuch!$W$20:$W$68,L60))</f>
        <v/>
      </c>
      <c r="N60" s="129"/>
      <c r="O60" s="130"/>
      <c r="P60" s="62"/>
    </row>
    <row r="61" spans="1:16" ht="15" x14ac:dyDescent="0.2">
      <c r="A61" s="65"/>
      <c r="B61" s="65"/>
      <c r="C61" s="65"/>
      <c r="D61" s="65"/>
      <c r="E61" s="65"/>
      <c r="F61" s="65"/>
      <c r="G61" s="65"/>
      <c r="H61" s="65"/>
      <c r="I61" s="65"/>
      <c r="J61" s="65"/>
      <c r="K61" s="65"/>
      <c r="L61" s="123" t="str">
        <f>IF(ISERROR(SMALL(Kassenbuch!$W$20:$W$68,46)),"",SMALL(Kassenbuch!$W$20:$W$68,46))</f>
        <v/>
      </c>
      <c r="M61" s="124" t="str">
        <f>IF(OR(L61="",L61=L60),"",MAX(M$16:M60)+COUNTIF(Kassenbuch!$W$20:$W$68,L61))</f>
        <v/>
      </c>
      <c r="N61" s="129"/>
      <c r="O61" s="130"/>
      <c r="P61" s="62"/>
    </row>
    <row r="62" spans="1:16" ht="15" x14ac:dyDescent="0.2">
      <c r="A62" s="65"/>
      <c r="B62" s="65"/>
      <c r="C62" s="65"/>
      <c r="D62" s="65"/>
      <c r="E62" s="65"/>
      <c r="F62" s="65"/>
      <c r="G62" s="65"/>
      <c r="H62" s="65"/>
      <c r="I62" s="65"/>
      <c r="J62" s="65"/>
      <c r="K62" s="65"/>
      <c r="L62" s="123" t="str">
        <f>IF(ISERROR(SMALL(Kassenbuch!$W$20:$W$68,47)),"",SMALL(Kassenbuch!$W$20:$W$68,47))</f>
        <v/>
      </c>
      <c r="M62" s="124" t="str">
        <f>IF(OR(L62="",L62=L61),"",MAX(M$16:M61)+COUNTIF(Kassenbuch!$W$20:$W$68,L62))</f>
        <v/>
      </c>
      <c r="N62" s="129"/>
      <c r="O62" s="130"/>
      <c r="P62" s="62"/>
    </row>
    <row r="63" spans="1:16" ht="15" x14ac:dyDescent="0.2">
      <c r="A63" s="65"/>
      <c r="B63" s="65"/>
      <c r="C63" s="65"/>
      <c r="D63" s="65"/>
      <c r="E63" s="65"/>
      <c r="F63" s="65"/>
      <c r="G63" s="65"/>
      <c r="H63" s="65"/>
      <c r="I63" s="65"/>
      <c r="J63" s="65"/>
      <c r="K63" s="65"/>
      <c r="L63" s="123" t="str">
        <f>IF(ISERROR(SMALL(Kassenbuch!$W$20:$W$68,48)),"",SMALL(Kassenbuch!$W$20:$W$68,48))</f>
        <v/>
      </c>
      <c r="M63" s="124" t="str">
        <f>IF(OR(L63="",L63=L62),"",MAX(M$16:M62)+COUNTIF(Kassenbuch!$W$20:$W$68,L63))</f>
        <v/>
      </c>
      <c r="N63" s="129"/>
      <c r="O63" s="130"/>
      <c r="P63" s="62"/>
    </row>
    <row r="64" spans="1:16" ht="15" x14ac:dyDescent="0.2">
      <c r="A64" s="65"/>
      <c r="B64" s="65"/>
      <c r="C64" s="65"/>
      <c r="D64" s="65"/>
      <c r="E64" s="65"/>
      <c r="F64" s="65"/>
      <c r="G64" s="65"/>
      <c r="H64" s="65"/>
      <c r="I64" s="65"/>
      <c r="J64" s="65"/>
      <c r="K64" s="65"/>
      <c r="L64" s="123" t="str">
        <f>IF(ISERROR(SMALL(Kassenbuch!$W$20:$W$68,49)),"",SMALL(Kassenbuch!$W$20:$W$68,49))</f>
        <v/>
      </c>
      <c r="M64" s="124" t="str">
        <f>IF(OR(L64="",L64=L63),"",MAX(M$16:M63)+COUNTIF(Kassenbuch!$W$20:$W$68,L64))</f>
        <v/>
      </c>
      <c r="N64" s="173" t="s">
        <v>108</v>
      </c>
      <c r="O64" s="130"/>
      <c r="P64" s="62"/>
    </row>
  </sheetData>
  <sheetProtection algorithmName="SHA-512" hashValue="6/95toyTpD2oTmN+IlTsPWRfpKw0Zi9lfFOXK68Owz9lfg4x0ndJAynyd6KBEzAMRc+c6d9Xi1eaNVd97IIeUA==" saltValue="il6pkmLmOEGiBBGFYk4Gbg==" spinCount="100000" sheet="1" objects="1" scenarios="1" selectLockedCells="1"/>
  <mergeCells count="68">
    <mergeCell ref="B34:E34"/>
    <mergeCell ref="F34:J34"/>
    <mergeCell ref="B30:C30"/>
    <mergeCell ref="E30:F30"/>
    <mergeCell ref="H30:J30"/>
    <mergeCell ref="B31:C31"/>
    <mergeCell ref="E31:F31"/>
    <mergeCell ref="H31:J31"/>
    <mergeCell ref="B32:C32"/>
    <mergeCell ref="E32:F32"/>
    <mergeCell ref="H32:J32"/>
    <mergeCell ref="B33:C33"/>
    <mergeCell ref="E33:J33"/>
    <mergeCell ref="B28:C28"/>
    <mergeCell ref="E28:F28"/>
    <mergeCell ref="H28:J28"/>
    <mergeCell ref="B29:C29"/>
    <mergeCell ref="E29:F29"/>
    <mergeCell ref="H29:J29"/>
    <mergeCell ref="B26:C26"/>
    <mergeCell ref="E26:F26"/>
    <mergeCell ref="H26:J26"/>
    <mergeCell ref="B27:C27"/>
    <mergeCell ref="E27:F27"/>
    <mergeCell ref="H27:J27"/>
    <mergeCell ref="B24:C24"/>
    <mergeCell ref="E24:F24"/>
    <mergeCell ref="H24:J24"/>
    <mergeCell ref="B25:C25"/>
    <mergeCell ref="E25:F25"/>
    <mergeCell ref="H25:J25"/>
    <mergeCell ref="B22:C22"/>
    <mergeCell ref="E22:F22"/>
    <mergeCell ref="H22:J22"/>
    <mergeCell ref="B23:C23"/>
    <mergeCell ref="E23:F23"/>
    <mergeCell ref="H23:J23"/>
    <mergeCell ref="B20:C20"/>
    <mergeCell ref="E20:F20"/>
    <mergeCell ref="H20:J20"/>
    <mergeCell ref="B21:C21"/>
    <mergeCell ref="E21:F21"/>
    <mergeCell ref="H21:J21"/>
    <mergeCell ref="B18:C18"/>
    <mergeCell ref="E18:F18"/>
    <mergeCell ref="H18:J18"/>
    <mergeCell ref="B19:C19"/>
    <mergeCell ref="E19:F19"/>
    <mergeCell ref="H19:J19"/>
    <mergeCell ref="L15:O15"/>
    <mergeCell ref="B16:C16"/>
    <mergeCell ref="E16:F16"/>
    <mergeCell ref="H16:J16"/>
    <mergeCell ref="B17:C17"/>
    <mergeCell ref="E17:F17"/>
    <mergeCell ref="H17:J17"/>
    <mergeCell ref="B10:I10"/>
    <mergeCell ref="D11:E11"/>
    <mergeCell ref="G11:H11"/>
    <mergeCell ref="B15:C15"/>
    <mergeCell ref="E15:F15"/>
    <mergeCell ref="H15:J15"/>
    <mergeCell ref="B2:E4"/>
    <mergeCell ref="I2:J4"/>
    <mergeCell ref="B5:J5"/>
    <mergeCell ref="B8:I8"/>
    <mergeCell ref="B9:C9"/>
    <mergeCell ref="E9:J9"/>
  </mergeCells>
  <pageMargins left="0.59055118110236227" right="0.27559055118110237" top="0.35433070866141736" bottom="0.39370078740157483" header="0.19685039370078741" footer="0.15748031496062992"/>
  <pageSetup paperSize="9" scale="99" orientation="portrait" blackAndWhite="1" r:id="rId1"/>
  <headerFooter>
    <oddFooter>&amp;L&amp;"Calibri,Standard"&amp;7&amp;K01+048Stand: &amp;D&amp;R&amp;"Calibri,Standard"&amp;7&amp;K01+048Version 3.0 - Dezember 2017</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18</vt:i4>
      </vt:variant>
    </vt:vector>
  </HeadingPairs>
  <TitlesOfParts>
    <vt:vector size="25" baseType="lpstr">
      <vt:lpstr>Dokumentation</vt:lpstr>
      <vt:lpstr>RT</vt:lpstr>
      <vt:lpstr>SaKo</vt:lpstr>
      <vt:lpstr>Kassenbuch</vt:lpstr>
      <vt:lpstr>Barbestand</vt:lpstr>
      <vt:lpstr>Buchungsblatt Aufwand</vt:lpstr>
      <vt:lpstr>Buchungsblatt Ertrag</vt:lpstr>
      <vt:lpstr>Aufwand</vt:lpstr>
      <vt:lpstr>Barbestand!Druckbereich</vt:lpstr>
      <vt:lpstr>'Buchungsblatt Aufwand'!Druckbereich</vt:lpstr>
      <vt:lpstr>'Buchungsblatt Ertrag'!Druckbereich</vt:lpstr>
      <vt:lpstr>Dokumentation!Druckbereich</vt:lpstr>
      <vt:lpstr>Kassenbuch!Druckbereich</vt:lpstr>
      <vt:lpstr>Dokumentation!Drucktitel</vt:lpstr>
      <vt:lpstr>Kassenbuch!Drucktitel</vt:lpstr>
      <vt:lpstr>Ertrag</vt:lpstr>
      <vt:lpstr>Gruppen</vt:lpstr>
      <vt:lpstr>Matrix</vt:lpstr>
      <vt:lpstr>Matrix1</vt:lpstr>
      <vt:lpstr>SaKoAufwand</vt:lpstr>
      <vt:lpstr>SaKoAufwandBuchungsblatt</vt:lpstr>
      <vt:lpstr>SaKoBereichAufwand</vt:lpstr>
      <vt:lpstr>SaKoBereichErtrag</vt:lpstr>
      <vt:lpstr>SaKoErtrag</vt:lpstr>
      <vt:lpstr>SaKoErtragBuchungsblatt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Silvia Heidi Stafast</dc:creator>
  <cp:lastModifiedBy>Doell, Klaus</cp:lastModifiedBy>
  <cp:lastPrinted>2017-11-30T15:54:30Z</cp:lastPrinted>
  <dcterms:created xsi:type="dcterms:W3CDTF">2014-07-15T14:55:50Z</dcterms:created>
  <dcterms:modified xsi:type="dcterms:W3CDTF">2018-02-05T07:45:39Z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96 96 1680 1050</vt:lpwstr>
  </property>
</Properties>
</file>